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0" documentId="8_{04ACEF30-E163-4817-AFC3-090D97FC9809}" xr6:coauthVersionLast="47" xr6:coauthVersionMax="47" xr10:uidLastSave="{00000000-0000-0000-0000-000000000000}"/>
  <workbookProtection workbookAlgorithmName="SHA-512" workbookHashValue="xgDkkfrM3flAtrcE3b6f6w8TdI5Fo7GnRVtJQj2AhivWfTO6lth9f9Jlvg0GKlke8ZmUzQ9gFKWLHL/nIePlnQ==" workbookSaltValue="8Wq66TvC1DfPgM5j8vx56w==" workbookSpinCount="100000" lockStructure="1"/>
  <bookViews>
    <workbookView xWindow="-108" yWindow="-108" windowWidth="23256" windowHeight="12576" activeTab="1" xr2:uid="{6BFD37AB-6DD2-404D-9CF2-771557B5E84F}"/>
  </bookViews>
  <sheets>
    <sheet name="Inputs" sheetId="1" r:id="rId1"/>
    <sheet name="Model" sheetId="7" r:id="rId2"/>
    <sheet name="ModelFactors" sheetId="3" r:id="rId3"/>
    <sheet name="Forecasts" sheetId="10" r:id="rId4"/>
  </sheets>
  <definedNames>
    <definedName name="_xlnm._FilterDatabase" localSheetId="0" hidden="1">Inputs!$B$18:$D$25</definedName>
    <definedName name="BT_Disc_rt">Inputs!$C$12</definedName>
    <definedName name="CommAdder">Inputs!$C$23</definedName>
    <definedName name="CommCredit">Inputs!$C$22</definedName>
    <definedName name="Date_of_Operation">Inputs!$C$6</definedName>
    <definedName name="Days_per_Year">ModelFactors!$Y$1:$Z$52</definedName>
    <definedName name="Degradation">Inputs!$C$39</definedName>
    <definedName name="DRV_Factors">Forecasts!$B$75:$AH$119</definedName>
    <definedName name="DRV_MTC_Table">ModelFactors!$N$1:$R$11</definedName>
    <definedName name="DRV_Rate">Inputs!$C$21</definedName>
    <definedName name="ef_Base_Solar">ModelFactors!$I$3</definedName>
    <definedName name="ef_Base_Wind">ModelFactors!$L$3</definedName>
    <definedName name="ef_ExpAbove_Solar">ModelFactors!$I$5</definedName>
    <definedName name="ef_ExpAbove_Wind">ModelFactors!$L$5</definedName>
    <definedName name="ef_ExpBelow_Solar">ModelFactors!$I$4</definedName>
    <definedName name="ef_ExpBelow_Wind">ModelFactors!$L$4</definedName>
    <definedName name="ef_Pivot_Solar">ModelFactors!$I$2</definedName>
    <definedName name="ef_Pivot_Wind">ModelFactors!$L$2</definedName>
    <definedName name="Expense_Scale">Inputs!$C$33</definedName>
    <definedName name="Forecast_Energy_Header">Forecasts!$B$1:$AH$1</definedName>
    <definedName name="Forecast_Energy_Hrly">Forecasts!$B$1:$AH$34</definedName>
    <definedName name="Forecast_ICAP">Forecasts!$B$37:$AH$70</definedName>
    <definedName name="Forecast_ICAP_Header">Forecasts!$B$37:$AH$37</definedName>
    <definedName name="Fraction_of_Credits">Inputs!$C$32</definedName>
    <definedName name="Ground_Lease_Ann">Inputs!$C$14</definedName>
    <definedName name="Ground_Lease_Esc">Inputs!$C$15</definedName>
    <definedName name="Group_Zone">Inputs!$C$36</definedName>
    <definedName name="Inflation">Inputs!$C$44</definedName>
    <definedName name="Inv_cost">Inputs!$C$43</definedName>
    <definedName name="Inv_Repl_Cycle">Inputs!$C$42</definedName>
    <definedName name="Inv_Size">Inputs!$C$40</definedName>
    <definedName name="NYISO_Name">ModelFactors!$V$2:$V$12</definedName>
    <definedName name="NYISO_Zone_Lookup">ModelFactors!$V$1:$W$12</definedName>
    <definedName name="NYISOzone">Inputs!$C$35</definedName>
    <definedName name="Plant_Type">Inputs!$C$4</definedName>
    <definedName name="Plant_Type_Tbl">ModelFactors!$T$2:$T$4</definedName>
    <definedName name="System_Age">Inputs!$C$8</definedName>
    <definedName name="System_Size">Inputs!$C$5</definedName>
    <definedName name="Tax_Stat_Dt">Inputs!$C$7</definedName>
    <definedName name="Utility_List">ModelFactors!$N$2:$N$11</definedName>
    <definedName name="Utility_Loss_Adj">Inputs!$C$37</definedName>
    <definedName name="Utility_Nm">Inputs!$C$20</definedName>
    <definedName name="ValGroup">Inputs!$C$34</definedName>
    <definedName name="ValGroup_Tbl">ModelFactors!$D$1:$F$56</definedName>
    <definedName name="Zone_Eff">Inputs!$C$30</definedName>
    <definedName name="Zone_Exp">Inputs!$C$31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4" i="10" l="1"/>
  <c r="B109" i="10"/>
  <c r="B92" i="10"/>
  <c r="B87" i="10"/>
  <c r="C37" i="1"/>
  <c r="C21" i="1"/>
  <c r="B76" i="10" l="1"/>
  <c r="B77" i="10"/>
  <c r="B78" i="10"/>
  <c r="B79" i="10"/>
  <c r="B80" i="10"/>
  <c r="B81" i="10"/>
  <c r="B82" i="10"/>
  <c r="B83" i="10"/>
  <c r="B84" i="10"/>
  <c r="B85" i="10"/>
  <c r="B86" i="10"/>
  <c r="B88" i="10"/>
  <c r="B89" i="10"/>
  <c r="B90" i="10"/>
  <c r="B91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10" i="10"/>
  <c r="B111" i="10"/>
  <c r="B112" i="10"/>
  <c r="B113" i="10"/>
  <c r="B115" i="10"/>
  <c r="B116" i="10"/>
  <c r="B117" i="10"/>
  <c r="B118" i="10"/>
  <c r="B119" i="10"/>
  <c r="B75" i="10"/>
  <c r="C8" i="1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C2" i="7"/>
  <c r="F33" i="7"/>
  <c r="Z2" i="3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AA17" i="7" l="1"/>
  <c r="Z17" i="7"/>
  <c r="Y17" i="7"/>
  <c r="X17" i="7"/>
  <c r="T17" i="7"/>
  <c r="P17" i="7"/>
  <c r="L17" i="7"/>
  <c r="H17" i="7"/>
  <c r="D17" i="7"/>
  <c r="F23" i="7"/>
  <c r="J23" i="7"/>
  <c r="N23" i="7"/>
  <c r="R23" i="7"/>
  <c r="V23" i="7"/>
  <c r="Z23" i="7"/>
  <c r="W17" i="7"/>
  <c r="S17" i="7"/>
  <c r="O17" i="7"/>
  <c r="K17" i="7"/>
  <c r="G17" i="7"/>
  <c r="C17" i="7"/>
  <c r="G23" i="7"/>
  <c r="K23" i="7"/>
  <c r="O23" i="7"/>
  <c r="S23" i="7"/>
  <c r="W23" i="7"/>
  <c r="AA23" i="7"/>
  <c r="V17" i="7"/>
  <c r="R17" i="7"/>
  <c r="N17" i="7"/>
  <c r="J17" i="7"/>
  <c r="F17" i="7"/>
  <c r="D23" i="7"/>
  <c r="H23" i="7"/>
  <c r="L23" i="7"/>
  <c r="P23" i="7"/>
  <c r="T23" i="7"/>
  <c r="X23" i="7"/>
  <c r="C23" i="7"/>
  <c r="U17" i="7"/>
  <c r="Q17" i="7"/>
  <c r="M17" i="7"/>
  <c r="I17" i="7"/>
  <c r="E17" i="7"/>
  <c r="E23" i="7"/>
  <c r="I23" i="7"/>
  <c r="M23" i="7"/>
  <c r="Q23" i="7"/>
  <c r="U23" i="7"/>
  <c r="Y23" i="7"/>
  <c r="D12" i="7"/>
  <c r="H12" i="7"/>
  <c r="L12" i="7"/>
  <c r="P12" i="7"/>
  <c r="T12" i="7"/>
  <c r="X12" i="7"/>
  <c r="C12" i="7"/>
  <c r="Q12" i="7"/>
  <c r="Y12" i="7"/>
  <c r="F12" i="7"/>
  <c r="N12" i="7"/>
  <c r="V12" i="7"/>
  <c r="G12" i="7"/>
  <c r="O12" i="7"/>
  <c r="W12" i="7"/>
  <c r="E12" i="7"/>
  <c r="I12" i="7"/>
  <c r="M12" i="7"/>
  <c r="U12" i="7"/>
  <c r="J12" i="7"/>
  <c r="R12" i="7"/>
  <c r="Z12" i="7"/>
  <c r="K12" i="7"/>
  <c r="S12" i="7"/>
  <c r="AA12" i="7"/>
  <c r="C43" i="1"/>
  <c r="C34" i="1"/>
  <c r="B17" i="1" s="1"/>
  <c r="B15" i="7" l="1"/>
  <c r="B7" i="7"/>
  <c r="C33" i="1"/>
  <c r="F25" i="7"/>
  <c r="J25" i="7"/>
  <c r="N25" i="7"/>
  <c r="S25" i="7"/>
  <c r="W25" i="7"/>
  <c r="AA25" i="7"/>
  <c r="G25" i="7"/>
  <c r="K25" i="7"/>
  <c r="O25" i="7"/>
  <c r="T25" i="7"/>
  <c r="X25" i="7"/>
  <c r="C25" i="7"/>
  <c r="H25" i="7"/>
  <c r="L25" i="7"/>
  <c r="P25" i="7"/>
  <c r="U25" i="7"/>
  <c r="Y25" i="7"/>
  <c r="E25" i="7"/>
  <c r="I25" i="7"/>
  <c r="M25" i="7"/>
  <c r="R25" i="7"/>
  <c r="V25" i="7"/>
  <c r="Z25" i="7"/>
  <c r="H24" i="7"/>
  <c r="AA24" i="7"/>
  <c r="X24" i="7"/>
  <c r="E24" i="7"/>
  <c r="O24" i="7"/>
  <c r="J24" i="7"/>
  <c r="D24" i="7"/>
  <c r="M24" i="7"/>
  <c r="I24" i="7"/>
  <c r="K24" i="7"/>
  <c r="P24" i="7"/>
  <c r="L24" i="7"/>
  <c r="R24" i="7"/>
  <c r="N24" i="7"/>
  <c r="G24" i="7"/>
  <c r="U24" i="7"/>
  <c r="F24" i="7"/>
  <c r="W24" i="7"/>
  <c r="T24" i="7"/>
  <c r="S24" i="7"/>
  <c r="Y24" i="7"/>
  <c r="C24" i="7"/>
  <c r="Q24" i="7"/>
  <c r="V24" i="7"/>
  <c r="Z24" i="7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2" i="3"/>
  <c r="B1" i="10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2" i="10"/>
  <c r="D20" i="1" l="1"/>
  <c r="C35" i="1"/>
  <c r="D3" i="1"/>
  <c r="D4" i="1"/>
  <c r="S9" i="7" l="1"/>
  <c r="K10" i="7"/>
  <c r="P9" i="7"/>
  <c r="H10" i="7"/>
  <c r="Q9" i="7"/>
  <c r="I10" i="7"/>
  <c r="N9" i="7"/>
  <c r="F10" i="7"/>
  <c r="D10" i="7"/>
  <c r="E10" i="7"/>
  <c r="V10" i="7"/>
  <c r="G9" i="7"/>
  <c r="W9" i="7"/>
  <c r="D9" i="7"/>
  <c r="T9" i="7"/>
  <c r="L10" i="7"/>
  <c r="E9" i="7"/>
  <c r="U9" i="7"/>
  <c r="C9" i="7"/>
  <c r="R9" i="7"/>
  <c r="J10" i="7"/>
  <c r="W10" i="7"/>
  <c r="M9" i="7"/>
  <c r="J9" i="7"/>
  <c r="Z9" i="7"/>
  <c r="K9" i="7"/>
  <c r="AA9" i="7"/>
  <c r="H9" i="7"/>
  <c r="X9" i="7"/>
  <c r="I9" i="7"/>
  <c r="Y9" i="7"/>
  <c r="F9" i="7"/>
  <c r="V9" i="7"/>
  <c r="O9" i="7"/>
  <c r="G10" i="7"/>
  <c r="L9" i="7"/>
  <c r="T10" i="7"/>
  <c r="U10" i="7"/>
  <c r="AA10" i="7"/>
  <c r="S10" i="7"/>
  <c r="Z10" i="7"/>
  <c r="O10" i="7"/>
  <c r="N10" i="7"/>
  <c r="R10" i="7"/>
  <c r="Y10" i="7"/>
  <c r="P10" i="7"/>
  <c r="Q10" i="7"/>
  <c r="M10" i="7"/>
  <c r="X10" i="7"/>
  <c r="C10" i="7"/>
  <c r="C36" i="1"/>
  <c r="C10" i="1"/>
  <c r="C12" i="1" s="1"/>
  <c r="C31" i="1" l="1"/>
  <c r="C22" i="7" s="1"/>
  <c r="C30" i="1"/>
  <c r="F5" i="7" s="1"/>
  <c r="F11" i="7" s="1"/>
  <c r="R30" i="7"/>
  <c r="Y30" i="7"/>
  <c r="I30" i="7"/>
  <c r="P30" i="7"/>
  <c r="O30" i="7"/>
  <c r="N30" i="7"/>
  <c r="U30" i="7"/>
  <c r="E30" i="7"/>
  <c r="C30" i="7"/>
  <c r="L30" i="7"/>
  <c r="AA30" i="7"/>
  <c r="W30" i="7"/>
  <c r="Z30" i="7"/>
  <c r="J30" i="7"/>
  <c r="D30" i="7"/>
  <c r="Q30" i="7"/>
  <c r="X30" i="7"/>
  <c r="H30" i="7"/>
  <c r="K30" i="7"/>
  <c r="G30" i="7"/>
  <c r="S30" i="7"/>
  <c r="V30" i="7"/>
  <c r="F30" i="7"/>
  <c r="M30" i="7"/>
  <c r="T30" i="7"/>
  <c r="C40" i="1"/>
  <c r="Q25" i="7" s="1"/>
  <c r="D22" i="7" l="1"/>
  <c r="F16" i="7"/>
  <c r="F8" i="7"/>
  <c r="F13" i="7" s="1"/>
  <c r="U5" i="7"/>
  <c r="U11" i="7" s="1"/>
  <c r="D5" i="7"/>
  <c r="D11" i="7" s="1"/>
  <c r="G5" i="7"/>
  <c r="G11" i="7" s="1"/>
  <c r="H5" i="7"/>
  <c r="H11" i="7" s="1"/>
  <c r="M5" i="7"/>
  <c r="M11" i="7" s="1"/>
  <c r="Y5" i="7"/>
  <c r="Y11" i="7" s="1"/>
  <c r="C5" i="7"/>
  <c r="C11" i="7" s="1"/>
  <c r="T5" i="7"/>
  <c r="T11" i="7" s="1"/>
  <c r="Z5" i="7"/>
  <c r="Z11" i="7" s="1"/>
  <c r="R5" i="7"/>
  <c r="R11" i="7" s="1"/>
  <c r="S5" i="7"/>
  <c r="S11" i="7" s="1"/>
  <c r="E5" i="7"/>
  <c r="E11" i="7" s="1"/>
  <c r="AA5" i="7"/>
  <c r="AA11" i="7" s="1"/>
  <c r="O5" i="7"/>
  <c r="O11" i="7" s="1"/>
  <c r="X5" i="7"/>
  <c r="X11" i="7" s="1"/>
  <c r="V5" i="7"/>
  <c r="V11" i="7" s="1"/>
  <c r="I5" i="7"/>
  <c r="I11" i="7" s="1"/>
  <c r="N5" i="7"/>
  <c r="N11" i="7" s="1"/>
  <c r="P5" i="7"/>
  <c r="P11" i="7" s="1"/>
  <c r="L5" i="7"/>
  <c r="L11" i="7" s="1"/>
  <c r="K5" i="7"/>
  <c r="K11" i="7" s="1"/>
  <c r="Q5" i="7"/>
  <c r="Q11" i="7" s="1"/>
  <c r="J5" i="7"/>
  <c r="J11" i="7" s="1"/>
  <c r="W5" i="7"/>
  <c r="W11" i="7" s="1"/>
  <c r="C26" i="7"/>
  <c r="AA22" i="7"/>
  <c r="AA26" i="7" s="1"/>
  <c r="J22" i="7"/>
  <c r="J26" i="7" s="1"/>
  <c r="N22" i="7"/>
  <c r="N26" i="7" s="1"/>
  <c r="V22" i="7"/>
  <c r="V26" i="7" s="1"/>
  <c r="O22" i="7"/>
  <c r="O26" i="7" s="1"/>
  <c r="F22" i="7"/>
  <c r="F26" i="7" s="1"/>
  <c r="G22" i="7"/>
  <c r="G26" i="7" s="1"/>
  <c r="H22" i="7"/>
  <c r="H26" i="7" s="1"/>
  <c r="L22" i="7"/>
  <c r="L26" i="7" s="1"/>
  <c r="P22" i="7"/>
  <c r="P26" i="7" s="1"/>
  <c r="T22" i="7"/>
  <c r="T26" i="7" s="1"/>
  <c r="X22" i="7"/>
  <c r="X26" i="7" s="1"/>
  <c r="E22" i="7"/>
  <c r="E26" i="7" s="1"/>
  <c r="M22" i="7"/>
  <c r="M26" i="7" s="1"/>
  <c r="Q22" i="7"/>
  <c r="Q26" i="7" s="1"/>
  <c r="U22" i="7"/>
  <c r="U26" i="7" s="1"/>
  <c r="Y22" i="7"/>
  <c r="Y26" i="7" s="1"/>
  <c r="R22" i="7"/>
  <c r="R26" i="7" s="1"/>
  <c r="Z22" i="7"/>
  <c r="Z26" i="7" s="1"/>
  <c r="K22" i="7"/>
  <c r="K26" i="7" s="1"/>
  <c r="S22" i="7"/>
  <c r="S26" i="7" s="1"/>
  <c r="W22" i="7"/>
  <c r="W26" i="7" s="1"/>
  <c r="I22" i="7"/>
  <c r="I26" i="7" s="1"/>
  <c r="C41" i="1"/>
  <c r="D25" i="7"/>
  <c r="E16" i="7" l="1"/>
  <c r="E18" i="7" s="1"/>
  <c r="E8" i="7"/>
  <c r="C8" i="7"/>
  <c r="C16" i="7"/>
  <c r="C18" i="7" s="1"/>
  <c r="D8" i="7"/>
  <c r="D13" i="7" s="1"/>
  <c r="D16" i="7"/>
  <c r="AA8" i="7"/>
  <c r="AA13" i="7" s="1"/>
  <c r="AA16" i="7"/>
  <c r="AA18" i="7" s="1"/>
  <c r="M8" i="7"/>
  <c r="M13" i="7" s="1"/>
  <c r="M16" i="7"/>
  <c r="W16" i="7"/>
  <c r="W8" i="7"/>
  <c r="W13" i="7" s="1"/>
  <c r="L8" i="7"/>
  <c r="L13" i="7" s="1"/>
  <c r="L16" i="7"/>
  <c r="V16" i="7"/>
  <c r="V8" i="7"/>
  <c r="V13" i="7" s="1"/>
  <c r="T8" i="7"/>
  <c r="T16" i="7"/>
  <c r="T18" i="7" s="1"/>
  <c r="H8" i="7"/>
  <c r="H13" i="7" s="1"/>
  <c r="H16" i="7"/>
  <c r="H18" i="7" s="1"/>
  <c r="I16" i="7"/>
  <c r="I18" i="7" s="1"/>
  <c r="I8" i="7"/>
  <c r="I13" i="7" s="1"/>
  <c r="U8" i="7"/>
  <c r="U13" i="7" s="1"/>
  <c r="U16" i="7"/>
  <c r="U18" i="7" s="1"/>
  <c r="J8" i="7"/>
  <c r="J13" i="7" s="1"/>
  <c r="J16" i="7"/>
  <c r="P8" i="7"/>
  <c r="P13" i="7" s="1"/>
  <c r="P16" i="7"/>
  <c r="X8" i="7"/>
  <c r="X13" i="7" s="1"/>
  <c r="X16" i="7"/>
  <c r="S8" i="7"/>
  <c r="S13" i="7" s="1"/>
  <c r="S16" i="7"/>
  <c r="S18" i="7" s="1"/>
  <c r="G16" i="7"/>
  <c r="G18" i="7" s="1"/>
  <c r="G8" i="7"/>
  <c r="G13" i="7" s="1"/>
  <c r="K8" i="7"/>
  <c r="K13" i="7" s="1"/>
  <c r="K16" i="7"/>
  <c r="K18" i="7" s="1"/>
  <c r="Z16" i="7"/>
  <c r="Z18" i="7" s="1"/>
  <c r="Z8" i="7"/>
  <c r="Z13" i="7" s="1"/>
  <c r="Q8" i="7"/>
  <c r="Q13" i="7" s="1"/>
  <c r="Q16" i="7"/>
  <c r="Q18" i="7" s="1"/>
  <c r="N8" i="7"/>
  <c r="N13" i="7" s="1"/>
  <c r="N16" i="7"/>
  <c r="N18" i="7" s="1"/>
  <c r="O8" i="7"/>
  <c r="O13" i="7" s="1"/>
  <c r="O16" i="7"/>
  <c r="O18" i="7" s="1"/>
  <c r="R8" i="7"/>
  <c r="R13" i="7" s="1"/>
  <c r="R16" i="7"/>
  <c r="R18" i="7" s="1"/>
  <c r="Y16" i="7"/>
  <c r="Y18" i="7" s="1"/>
  <c r="Y8" i="7"/>
  <c r="F18" i="7"/>
  <c r="F20" i="7" s="1"/>
  <c r="M18" i="7"/>
  <c r="D26" i="7"/>
  <c r="M20" i="7" l="1"/>
  <c r="M28" i="7" s="1"/>
  <c r="M31" i="7" s="1"/>
  <c r="N20" i="7"/>
  <c r="Z20" i="7"/>
  <c r="Z28" i="7" s="1"/>
  <c r="Z31" i="7" s="1"/>
  <c r="G20" i="7"/>
  <c r="G28" i="7" s="1"/>
  <c r="G31" i="7" s="1"/>
  <c r="I20" i="7"/>
  <c r="I28" i="7" s="1"/>
  <c r="I31" i="7" s="1"/>
  <c r="O20" i="7"/>
  <c r="Q20" i="7"/>
  <c r="Q28" i="7" s="1"/>
  <c r="Q31" i="7" s="1"/>
  <c r="K20" i="7"/>
  <c r="S20" i="7"/>
  <c r="U20" i="7"/>
  <c r="U28" i="7" s="1"/>
  <c r="U31" i="7" s="1"/>
  <c r="H20" i="7"/>
  <c r="H28" i="7" s="1"/>
  <c r="H31" i="7" s="1"/>
  <c r="AA20" i="7"/>
  <c r="AA28" i="7" s="1"/>
  <c r="AA31" i="7" s="1"/>
  <c r="R20" i="7"/>
  <c r="R28" i="7" s="1"/>
  <c r="R31" i="7" s="1"/>
  <c r="E13" i="7"/>
  <c r="E20" i="7" s="1"/>
  <c r="E28" i="7" s="1"/>
  <c r="E31" i="7" s="1"/>
  <c r="Y13" i="7"/>
  <c r="Y20" i="7" s="1"/>
  <c r="Y28" i="7" s="1"/>
  <c r="Y31" i="7" s="1"/>
  <c r="T13" i="7"/>
  <c r="T20" i="7" s="1"/>
  <c r="T28" i="7" s="1"/>
  <c r="T31" i="7" s="1"/>
  <c r="C13" i="7"/>
  <c r="C20" i="7" s="1"/>
  <c r="C28" i="7" s="1"/>
  <c r="C31" i="7" s="1"/>
  <c r="W18" i="7"/>
  <c r="W20" i="7" s="1"/>
  <c r="X18" i="7"/>
  <c r="X20" i="7" s="1"/>
  <c r="L18" i="7"/>
  <c r="L20" i="7" s="1"/>
  <c r="P18" i="7"/>
  <c r="P20" i="7" s="1"/>
  <c r="J18" i="7"/>
  <c r="J20" i="7" s="1"/>
  <c r="V18" i="7"/>
  <c r="V20" i="7" s="1"/>
  <c r="F28" i="7"/>
  <c r="F31" i="7" s="1"/>
  <c r="D18" i="7"/>
  <c r="D20" i="7" s="1"/>
  <c r="J28" i="7" l="1"/>
  <c r="J31" i="7" s="1"/>
  <c r="V28" i="7"/>
  <c r="V31" i="7" s="1"/>
  <c r="K28" i="7"/>
  <c r="K31" i="7" s="1"/>
  <c r="N28" i="7"/>
  <c r="N31" i="7" s="1"/>
  <c r="L28" i="7"/>
  <c r="L31" i="7" s="1"/>
  <c r="S28" i="7"/>
  <c r="S31" i="7" s="1"/>
  <c r="P28" i="7"/>
  <c r="P31" i="7" s="1"/>
  <c r="X28" i="7"/>
  <c r="X31" i="7" s="1"/>
  <c r="W28" i="7"/>
  <c r="W31" i="7" s="1"/>
  <c r="O28" i="7"/>
  <c r="O31" i="7" s="1"/>
  <c r="D28" i="7"/>
  <c r="D31" i="7" s="1"/>
  <c r="D33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8" authorId="0" shapeId="0" xr:uid="{0E8FF738-723E-408E-AEF7-F9C40FD240A5}">
      <text>
        <r>
          <rPr>
            <sz val="9"/>
            <color indexed="81"/>
            <rFont val="Tahoma"/>
            <family val="2"/>
          </rPr>
          <t>25 Years (Warranty and Contract Term)</t>
        </r>
      </text>
    </comment>
    <comment ref="C43" authorId="0" shapeId="0" xr:uid="{8FDC51AE-916B-4B3E-BEED-6BE390AD4AA4}">
      <text>
        <r>
          <rPr>
            <sz val="9"/>
            <color indexed="81"/>
            <rFont val="Tahoma"/>
            <family val="2"/>
          </rPr>
          <t>Fixed/4-5c util, 10c&lt;5MW)</t>
        </r>
      </text>
    </comment>
  </commentList>
</comments>
</file>

<file path=xl/sharedStrings.xml><?xml version="1.0" encoding="utf-8"?>
<sst xmlns="http://schemas.openxmlformats.org/spreadsheetml/2006/main" count="614" uniqueCount="161">
  <si>
    <t>Degradation – 0.5% Per Annum</t>
  </si>
  <si>
    <t>Inverter Size</t>
  </si>
  <si>
    <t>Inverter Age</t>
  </si>
  <si>
    <t>E</t>
  </si>
  <si>
    <t>G</t>
  </si>
  <si>
    <t>J</t>
  </si>
  <si>
    <t>F</t>
  </si>
  <si>
    <t>C</t>
  </si>
  <si>
    <t>A</t>
  </si>
  <si>
    <t>B</t>
  </si>
  <si>
    <t>D</t>
  </si>
  <si>
    <t>H</t>
  </si>
  <si>
    <t>year</t>
  </si>
  <si>
    <t>Tax Load</t>
  </si>
  <si>
    <t>Loaded Discount Rate</t>
  </si>
  <si>
    <t>NYISO Zone</t>
  </si>
  <si>
    <t>Production</t>
  </si>
  <si>
    <t>Plant Type</t>
  </si>
  <si>
    <t>Date of Operation</t>
  </si>
  <si>
    <t>Inverter Replacement Cycle</t>
  </si>
  <si>
    <t>Solar Fixed - VDER</t>
  </si>
  <si>
    <t>Solar Tracking - VDER</t>
  </si>
  <si>
    <t>Decomissioning</t>
  </si>
  <si>
    <t>*Expense includes O&amp;M, Insurance, Management.</t>
  </si>
  <si>
    <t>Income</t>
  </si>
  <si>
    <t>Expenses</t>
  </si>
  <si>
    <r>
      <t>Inverter Replacement Cost New</t>
    </r>
    <r>
      <rPr>
        <sz val="11"/>
        <rFont val="Calibri"/>
        <family val="2"/>
        <scheme val="minor"/>
      </rPr>
      <t xml:space="preserve"> </t>
    </r>
  </si>
  <si>
    <t>I</t>
  </si>
  <si>
    <t>K</t>
  </si>
  <si>
    <t>Economic Life</t>
  </si>
  <si>
    <t>ExpFactor</t>
  </si>
  <si>
    <t>Typical Expense for Zone ($/kw)</t>
  </si>
  <si>
    <t>DRV Rate</t>
  </si>
  <si>
    <t>Solar Fixed - Tier 1</t>
  </si>
  <si>
    <t>Solar Tracking - Tier 1</t>
  </si>
  <si>
    <t>Onshore Wind - Tier 1</t>
  </si>
  <si>
    <t>National Grid</t>
  </si>
  <si>
    <t>Central Hudson</t>
  </si>
  <si>
    <t>Orange &amp; Rockland</t>
  </si>
  <si>
    <t>$/kwh</t>
  </si>
  <si>
    <t>Utility</t>
  </si>
  <si>
    <t>DRV rate ($2021/kWh) Phase 2</t>
  </si>
  <si>
    <t>PSEG Long Island</t>
  </si>
  <si>
    <t>RGE</t>
  </si>
  <si>
    <t>Utility Company</t>
  </si>
  <si>
    <t>Energy $</t>
  </si>
  <si>
    <t>Capacity $</t>
  </si>
  <si>
    <t>Land Based Wind</t>
  </si>
  <si>
    <t>MTC/Comm WgtMean</t>
  </si>
  <si>
    <t>%of utility with no MTC adder</t>
  </si>
  <si>
    <t>Inverter (Solar Only)</t>
  </si>
  <si>
    <t>Solar - Tracking</t>
  </si>
  <si>
    <t>Solar - Fixed Axis</t>
  </si>
  <si>
    <t>Taxable Status Date</t>
  </si>
  <si>
    <t>Efficiency Factor for Plant Type</t>
  </si>
  <si>
    <t>EBITDA</t>
  </si>
  <si>
    <t>Discount Factor</t>
  </si>
  <si>
    <t>Disc Cash Flow</t>
  </si>
  <si>
    <t>EffFactor</t>
  </si>
  <si>
    <t>Valuation Group</t>
  </si>
  <si>
    <t>ValGroup#</t>
  </si>
  <si>
    <t>Before Tax Discount Rate  - WACC</t>
  </si>
  <si>
    <t>System Age at Taxable Status Date</t>
  </si>
  <si>
    <t xml:space="preserve">J - N.Y.C. </t>
  </si>
  <si>
    <t>E - Mohawk Valley</t>
  </si>
  <si>
    <t>F - Capital</t>
  </si>
  <si>
    <t>G - Hudson Valley</t>
  </si>
  <si>
    <t>H - Millwood</t>
  </si>
  <si>
    <t xml:space="preserve">I - Dunwoodie </t>
  </si>
  <si>
    <t>K - Long Island</t>
  </si>
  <si>
    <t>A - West</t>
  </si>
  <si>
    <t>B - Genesee</t>
  </si>
  <si>
    <t>C - Central</t>
  </si>
  <si>
    <t>D - North</t>
  </si>
  <si>
    <t>NYISO Name</t>
  </si>
  <si>
    <t>NYISO Letter</t>
  </si>
  <si>
    <t>System Size</t>
  </si>
  <si>
    <r>
      <t xml:space="preserve">(kW Wind/kW </t>
    </r>
    <r>
      <rPr>
        <b/>
        <sz val="11"/>
        <color theme="1"/>
        <rFont val="Calibri"/>
        <family val="2"/>
        <scheme val="minor"/>
      </rPr>
      <t>AC</t>
    </r>
    <r>
      <rPr>
        <sz val="11"/>
        <color theme="1"/>
        <rFont val="Calibri"/>
        <family val="2"/>
        <scheme val="minor"/>
      </rPr>
      <t xml:space="preserve"> Solar)</t>
    </r>
  </si>
  <si>
    <t>Expense*</t>
  </si>
  <si>
    <t>Present Value of Cash Flow:</t>
  </si>
  <si>
    <t>MTC and/or CC</t>
  </si>
  <si>
    <t>Blue cells require user input</t>
  </si>
  <si>
    <t>NYSEG</t>
  </si>
  <si>
    <t>UCAP</t>
  </si>
  <si>
    <t>Expense Scale</t>
  </si>
  <si>
    <t>Solar OpEx Economies of Scale</t>
  </si>
  <si>
    <t>Wind OpEx Economies of Scale</t>
  </si>
  <si>
    <t>Type</t>
  </si>
  <si>
    <t>ValFactor</t>
  </si>
  <si>
    <t>Hourly</t>
  </si>
  <si>
    <t>Zone</t>
  </si>
  <si>
    <t>Group-Zone</t>
  </si>
  <si>
    <t>Type-Zone</t>
  </si>
  <si>
    <t>Solar - Fixed Axis-A</t>
  </si>
  <si>
    <t>Solar - Fixed Axis-B</t>
  </si>
  <si>
    <t>Solar - Fixed Axis-C</t>
  </si>
  <si>
    <t>Solar - Fixed Axis-D</t>
  </si>
  <si>
    <t>Solar - Fixed Axis-E</t>
  </si>
  <si>
    <t>Solar - Fixed Axis-F</t>
  </si>
  <si>
    <t>Solar - Fixed Axis-G</t>
  </si>
  <si>
    <t>Solar - Fixed Axis-H</t>
  </si>
  <si>
    <t>Solar - Fixed Axis-I</t>
  </si>
  <si>
    <t>Solar - Fixed Axis-J</t>
  </si>
  <si>
    <t>Solar - Fixed Axis-K</t>
  </si>
  <si>
    <t>Solar - Tracking-A</t>
  </si>
  <si>
    <t>Solar - Tracking-B</t>
  </si>
  <si>
    <t>Solar - Tracking-C</t>
  </si>
  <si>
    <t>Solar - Tracking-D</t>
  </si>
  <si>
    <t>Solar - Tracking-E</t>
  </si>
  <si>
    <t>Solar - Tracking-F</t>
  </si>
  <si>
    <t>Solar - Tracking-G</t>
  </si>
  <si>
    <t>Solar - Tracking-H</t>
  </si>
  <si>
    <t>Solar - Tracking-I</t>
  </si>
  <si>
    <t>Solar - Tracking-J</t>
  </si>
  <si>
    <t>Solar - Tracking-K</t>
  </si>
  <si>
    <t>Land Based Wind-A</t>
  </si>
  <si>
    <t>Land Based Wind-B</t>
  </si>
  <si>
    <t>Land Based Wind-C</t>
  </si>
  <si>
    <t>Land Based Wind-D</t>
  </si>
  <si>
    <t>Land Based Wind-E</t>
  </si>
  <si>
    <t>Land Based Wind-F</t>
  </si>
  <si>
    <t>Land Based Wind-G</t>
  </si>
  <si>
    <t>Land Based Wind-H</t>
  </si>
  <si>
    <t>Land Based Wind-I</t>
  </si>
  <si>
    <t>Land Based Wind-J</t>
  </si>
  <si>
    <t>Land Based Wind-K</t>
  </si>
  <si>
    <t>Days</t>
  </si>
  <si>
    <t>Lease</t>
  </si>
  <si>
    <t>Year</t>
  </si>
  <si>
    <t>ConEd (11am-3pm)</t>
  </si>
  <si>
    <t>ConEd (2pm-6pm)</t>
  </si>
  <si>
    <t>ConEd (4pm-8pm)</t>
  </si>
  <si>
    <t>ConEd (7pm-11pm)</t>
  </si>
  <si>
    <t>DRV</t>
  </si>
  <si>
    <t>Default</t>
  </si>
  <si>
    <t>Rate</t>
  </si>
  <si>
    <t>*With current generation profiles, there is no expected generation during NYSEG January DRV window. Therefore no adjustment is made for NYSEG DRV.</t>
  </si>
  <si>
    <t>Fraction of Off-taker Credits to Owner</t>
  </si>
  <si>
    <t>Utility Loss Adjustment Factor</t>
  </si>
  <si>
    <t>Loss Adjustment Factor</t>
  </si>
  <si>
    <t>Community Adder</t>
  </si>
  <si>
    <t>$</t>
  </si>
  <si>
    <t>Operating Expenses</t>
  </si>
  <si>
    <t>Solar Tracking</t>
  </si>
  <si>
    <t>Pivot Capacity (MW AC)</t>
  </si>
  <si>
    <t>Base Factor (at Pivot Capacity)</t>
  </si>
  <si>
    <t>Wind</t>
  </si>
  <si>
    <t>Exponent above Pivot</t>
  </si>
  <si>
    <t>Exponent below Pivot</t>
  </si>
  <si>
    <t>VDER Inputs</t>
  </si>
  <si>
    <t>Data for Model Operation:</t>
  </si>
  <si>
    <t>VDER Total</t>
  </si>
  <si>
    <t>Tier 1 Total</t>
  </si>
  <si>
    <r>
      <rPr>
        <b/>
        <i/>
        <sz val="11"/>
        <color theme="1"/>
        <rFont val="Calibri"/>
        <family val="2"/>
        <scheme val="minor"/>
      </rPr>
      <t>or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Community Adder</t>
    </r>
  </si>
  <si>
    <t>2022 Solar and Wind Appraisal Model</t>
  </si>
  <si>
    <t>Annual Ground Lease Payment (if applicable)</t>
  </si>
  <si>
    <r>
      <t xml:space="preserve">Community </t>
    </r>
    <r>
      <rPr>
        <b/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Market Transition Credit</t>
    </r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</si>
  <si>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VDER projects may receive either a Community or Market Transition Credit OR a Community Adder, but they never receive both.</t>
    </r>
  </si>
  <si>
    <t>Inflation (for OpEx)</t>
  </si>
  <si>
    <t>Annual Ground Lease Escalator (if applicable)</t>
  </si>
  <si>
    <t>January 6,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</si>
</sst>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_(* #,##0.0000_);_(* \(#,##0.0000\);_(* &quot;-&quot;??_);_(@_)"/>
    <numFmt numFmtId="167" formatCode="_(&quot;$&quot;* #,##0_);_(&quot;$&quot;* \(#,##0\);_(&quot;$&quot;* &quot;-&quot;??_);_(@_)"/>
    <numFmt numFmtId="168" formatCode="&quot;$&quot;#,##0.0000_);\(&quot;$&quot;#,##0.0000\)"/>
    <numFmt numFmtId="169" formatCode="_(&quot;$&quot;* #,##0.000_);_(&quot;$&quot;* \(#,##0.000\);_(&quot;$&quot;* &quot;-&quot;??_);_(@_)"/>
    <numFmt numFmtId="170" formatCode="&quot;$&quot;#,##0"/>
    <numFmt numFmtId="171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0" tint="-0.249977111117893"/>
      <name val="Wingdings 3"/>
      <family val="1"/>
      <charset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auto="1"/>
      </top>
      <bottom style="thin">
        <color theme="6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9" fontId="0" fillId="0" borderId="22" xfId="2" applyNumberFormat="1" applyFont="1" applyBorder="1"/>
    <xf numFmtId="169" fontId="0" fillId="0" borderId="0" xfId="2" applyNumberFormat="1" applyFont="1" applyBorder="1"/>
    <xf numFmtId="169" fontId="0" fillId="0" borderId="2" xfId="2" applyNumberFormat="1" applyFont="1" applyBorder="1"/>
    <xf numFmtId="0" fontId="5" fillId="5" borderId="3" xfId="0" applyFont="1" applyFill="1" applyBorder="1"/>
    <xf numFmtId="1" fontId="0" fillId="5" borderId="25" xfId="2" applyNumberFormat="1" applyFont="1" applyFill="1" applyBorder="1" applyProtection="1"/>
    <xf numFmtId="0" fontId="0" fillId="5" borderId="0" xfId="0" applyFill="1"/>
    <xf numFmtId="0" fontId="8" fillId="5" borderId="7" xfId="0" applyFont="1" applyFill="1" applyBorder="1"/>
    <xf numFmtId="0" fontId="8" fillId="5" borderId="26" xfId="0" applyFont="1" applyFill="1" applyBorder="1"/>
    <xf numFmtId="0" fontId="8" fillId="5" borderId="27" xfId="0" applyFont="1" applyFill="1" applyBorder="1"/>
    <xf numFmtId="0" fontId="8" fillId="5" borderId="0" xfId="0" applyFont="1" applyFill="1"/>
    <xf numFmtId="0" fontId="0" fillId="5" borderId="5" xfId="0" applyFill="1" applyBorder="1"/>
    <xf numFmtId="0" fontId="0" fillId="5" borderId="28" xfId="0" applyFill="1" applyBorder="1"/>
    <xf numFmtId="166" fontId="0" fillId="5" borderId="28" xfId="0" applyNumberFormat="1" applyFill="1" applyBorder="1"/>
    <xf numFmtId="0" fontId="0" fillId="5" borderId="29" xfId="0" applyFill="1" applyBorder="1"/>
    <xf numFmtId="165" fontId="6" fillId="0" borderId="28" xfId="1" applyNumberFormat="1" applyFont="1" applyBorder="1" applyProtection="1"/>
    <xf numFmtId="165" fontId="6" fillId="0" borderId="29" xfId="1" applyNumberFormat="1" applyFont="1" applyBorder="1" applyProtection="1"/>
    <xf numFmtId="0" fontId="12" fillId="5" borderId="0" xfId="0" applyFont="1" applyFill="1"/>
    <xf numFmtId="0" fontId="12" fillId="0" borderId="5" xfId="0" applyFont="1" applyBorder="1"/>
    <xf numFmtId="165" fontId="12" fillId="0" borderId="28" xfId="1" applyNumberFormat="1" applyFont="1" applyFill="1" applyBorder="1" applyProtection="1"/>
    <xf numFmtId="0" fontId="2" fillId="5" borderId="0" xfId="0" applyFont="1" applyFill="1"/>
    <xf numFmtId="0" fontId="2" fillId="4" borderId="20" xfId="0" applyFont="1" applyFill="1" applyBorder="1"/>
    <xf numFmtId="167" fontId="10" fillId="4" borderId="30" xfId="2" applyNumberFormat="1" applyFont="1" applyFill="1" applyBorder="1" applyProtection="1"/>
    <xf numFmtId="167" fontId="6" fillId="5" borderId="28" xfId="2" applyNumberFormat="1" applyFont="1" applyFill="1" applyBorder="1" applyProtection="1"/>
    <xf numFmtId="0" fontId="0" fillId="5" borderId="3" xfId="0" applyFill="1" applyBorder="1"/>
    <xf numFmtId="167" fontId="6" fillId="5" borderId="25" xfId="2" applyNumberFormat="1" applyFont="1" applyFill="1" applyBorder="1" applyProtection="1"/>
    <xf numFmtId="0" fontId="2" fillId="4" borderId="7" xfId="0" applyFont="1" applyFill="1" applyBorder="1"/>
    <xf numFmtId="167" fontId="10" fillId="4" borderId="26" xfId="2" applyNumberFormat="1" applyFont="1" applyFill="1" applyBorder="1" applyProtection="1"/>
    <xf numFmtId="0" fontId="2" fillId="5" borderId="5" xfId="0" applyFont="1" applyFill="1" applyBorder="1"/>
    <xf numFmtId="167" fontId="10" fillId="5" borderId="28" xfId="2" applyNumberFormat="1" applyFont="1" applyFill="1" applyBorder="1" applyProtection="1"/>
    <xf numFmtId="164" fontId="6" fillId="5" borderId="28" xfId="0" applyNumberFormat="1" applyFont="1" applyFill="1" applyBorder="1"/>
    <xf numFmtId="43" fontId="0" fillId="5" borderId="0" xfId="0" applyNumberFormat="1" applyFill="1"/>
    <xf numFmtId="166" fontId="0" fillId="5" borderId="0" xfId="0" applyNumberFormat="1" applyFill="1"/>
    <xf numFmtId="0" fontId="8" fillId="2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0" fillId="5" borderId="4" xfId="0" applyFill="1" applyBorder="1"/>
    <xf numFmtId="0" fontId="0" fillId="5" borderId="5" xfId="0" applyFill="1" applyBorder="1" applyAlignment="1">
      <alignment horizontal="right" vertical="center"/>
    </xf>
    <xf numFmtId="0" fontId="0" fillId="5" borderId="6" xfId="0" applyFill="1" applyBorder="1"/>
    <xf numFmtId="0" fontId="9" fillId="5" borderId="0" xfId="0" applyFont="1" applyFill="1"/>
    <xf numFmtId="0" fontId="9" fillId="5" borderId="7" xfId="0" applyFont="1" applyFill="1" applyBorder="1" applyAlignment="1">
      <alignment horizontal="right" vertical="center"/>
    </xf>
    <xf numFmtId="0" fontId="8" fillId="5" borderId="2" xfId="0" applyFont="1" applyFill="1" applyBorder="1"/>
    <xf numFmtId="0" fontId="0" fillId="5" borderId="2" xfId="0" applyFill="1" applyBorder="1"/>
    <xf numFmtId="0" fontId="0" fillId="5" borderId="8" xfId="0" applyFill="1" applyBorder="1"/>
    <xf numFmtId="0" fontId="0" fillId="5" borderId="0" xfId="0" applyFill="1" applyAlignment="1">
      <alignment horizontal="right" vertical="center"/>
    </xf>
    <xf numFmtId="9" fontId="0" fillId="5" borderId="0" xfId="3" applyFont="1" applyFill="1" applyProtection="1"/>
    <xf numFmtId="0" fontId="9" fillId="5" borderId="3" xfId="0" applyFont="1" applyFill="1" applyBorder="1" applyAlignment="1">
      <alignment horizontal="right" vertical="center" wrapText="1"/>
    </xf>
    <xf numFmtId="10" fontId="0" fillId="5" borderId="4" xfId="0" applyNumberFormat="1" applyFill="1" applyBorder="1"/>
    <xf numFmtId="0" fontId="0" fillId="5" borderId="7" xfId="0" applyFill="1" applyBorder="1" applyAlignment="1">
      <alignment horizontal="right" vertical="center"/>
    </xf>
    <xf numFmtId="10" fontId="0" fillId="5" borderId="8" xfId="0" applyNumberFormat="1" applyFill="1" applyBorder="1"/>
    <xf numFmtId="0" fontId="2" fillId="5" borderId="0" xfId="0" applyFont="1" applyFill="1" applyAlignment="1">
      <alignment horizontal="right" vertical="center"/>
    </xf>
    <xf numFmtId="0" fontId="2" fillId="5" borderId="16" xfId="0" applyFont="1" applyFill="1" applyBorder="1" applyAlignment="1">
      <alignment horizontal="right" vertical="center"/>
    </xf>
    <xf numFmtId="9" fontId="0" fillId="5" borderId="9" xfId="3" applyFont="1" applyFill="1" applyBorder="1" applyProtection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right" vertical="center"/>
    </xf>
    <xf numFmtId="0" fontId="0" fillId="5" borderId="12" xfId="0" applyFill="1" applyBorder="1"/>
    <xf numFmtId="168" fontId="0" fillId="5" borderId="0" xfId="2" applyNumberFormat="1" applyFont="1" applyFill="1" applyBorder="1" applyProtection="1"/>
    <xf numFmtId="0" fontId="7" fillId="3" borderId="3" xfId="0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/>
    <xf numFmtId="0" fontId="7" fillId="3" borderId="6" xfId="0" applyFont="1" applyFill="1" applyBorder="1" applyAlignment="1">
      <alignment horizontal="right"/>
    </xf>
    <xf numFmtId="0" fontId="7" fillId="3" borderId="6" xfId="2" applyNumberFormat="1" applyFont="1" applyFill="1" applyBorder="1" applyProtection="1"/>
    <xf numFmtId="7" fontId="7" fillId="3" borderId="6" xfId="2" applyNumberFormat="1" applyFont="1" applyFill="1" applyBorder="1" applyProtection="1"/>
    <xf numFmtId="0" fontId="7" fillId="3" borderId="7" xfId="0" applyFont="1" applyFill="1" applyBorder="1" applyAlignment="1">
      <alignment horizontal="right" vertical="center"/>
    </xf>
    <xf numFmtId="10" fontId="7" fillId="3" borderId="8" xfId="3" applyNumberFormat="1" applyFont="1" applyFill="1" applyBorder="1" applyProtection="1"/>
    <xf numFmtId="0" fontId="7" fillId="5" borderId="0" xfId="0" applyFont="1" applyFill="1" applyAlignment="1">
      <alignment horizontal="right" vertical="center"/>
    </xf>
    <xf numFmtId="10" fontId="7" fillId="5" borderId="0" xfId="3" applyNumberFormat="1" applyFont="1" applyFill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3" fontId="0" fillId="2" borderId="0" xfId="1" applyNumberFormat="1" applyFont="1" applyFill="1" applyBorder="1" applyProtection="1">
      <protection locked="0"/>
    </xf>
    <xf numFmtId="14" fontId="0" fillId="2" borderId="0" xfId="0" applyNumberFormat="1" applyFill="1" applyProtection="1">
      <protection locked="0"/>
    </xf>
    <xf numFmtId="10" fontId="0" fillId="2" borderId="8" xfId="0" applyNumberFormat="1" applyFill="1" applyBorder="1" applyProtection="1">
      <protection locked="0"/>
    </xf>
    <xf numFmtId="44" fontId="0" fillId="2" borderId="0" xfId="2" applyFont="1" applyFill="1" applyBorder="1" applyAlignment="1" applyProtection="1">
      <alignment horizontal="right"/>
      <protection locked="0"/>
    </xf>
    <xf numFmtId="168" fontId="0" fillId="2" borderId="0" xfId="2" applyNumberFormat="1" applyFont="1" applyFill="1" applyBorder="1" applyProtection="1">
      <protection locked="0"/>
    </xf>
    <xf numFmtId="0" fontId="13" fillId="6" borderId="24" xfId="0" applyFont="1" applyFill="1" applyBorder="1" applyAlignment="1" applyProtection="1">
      <alignment horizontal="left" vertical="center" shrinkToFit="1"/>
      <protection locked="0"/>
    </xf>
    <xf numFmtId="0" fontId="13" fillId="6" borderId="23" xfId="0" applyFont="1" applyFill="1" applyBorder="1" applyAlignment="1" applyProtection="1">
      <alignment horizontal="left" vertical="center" shrinkToFit="1"/>
      <protection locked="0"/>
    </xf>
    <xf numFmtId="44" fontId="0" fillId="0" borderId="0" xfId="2" applyFont="1" applyBorder="1"/>
    <xf numFmtId="44" fontId="0" fillId="0" borderId="2" xfId="2" applyFont="1" applyBorder="1"/>
    <xf numFmtId="9" fontId="0" fillId="0" borderId="6" xfId="3" applyFont="1" applyBorder="1"/>
    <xf numFmtId="9" fontId="0" fillId="0" borderId="8" xfId="3" applyFont="1" applyBorder="1"/>
    <xf numFmtId="0" fontId="2" fillId="5" borderId="0" xfId="0" applyFont="1" applyFill="1" applyAlignment="1">
      <alignment horizontal="right"/>
    </xf>
    <xf numFmtId="167" fontId="2" fillId="5" borderId="0" xfId="0" applyNumberFormat="1" applyFont="1" applyFill="1" applyAlignment="1">
      <alignment horizontal="center"/>
    </xf>
    <xf numFmtId="0" fontId="9" fillId="5" borderId="0" xfId="0" applyFont="1" applyFill="1" applyProtection="1">
      <protection hidden="1"/>
    </xf>
    <xf numFmtId="4" fontId="9" fillId="5" borderId="0" xfId="0" applyNumberFormat="1" applyFont="1" applyFill="1" applyProtection="1">
      <protection hidden="1"/>
    </xf>
    <xf numFmtId="2" fontId="9" fillId="5" borderId="0" xfId="0" applyNumberFormat="1" applyFont="1" applyFill="1" applyProtection="1">
      <protection hidden="1"/>
    </xf>
    <xf numFmtId="10" fontId="0" fillId="5" borderId="0" xfId="0" applyNumberFormat="1" applyFill="1"/>
    <xf numFmtId="166" fontId="15" fillId="5" borderId="0" xfId="0" applyNumberFormat="1" applyFont="1" applyFill="1"/>
    <xf numFmtId="171" fontId="0" fillId="0" borderId="22" xfId="0" applyNumberFormat="1" applyBorder="1"/>
    <xf numFmtId="171" fontId="0" fillId="0" borderId="0" xfId="0" applyNumberFormat="1"/>
    <xf numFmtId="171" fontId="0" fillId="0" borderId="2" xfId="0" applyNumberFormat="1" applyBorder="1"/>
    <xf numFmtId="5" fontId="0" fillId="2" borderId="0" xfId="2" applyNumberFormat="1" applyFont="1" applyFill="1" applyBorder="1" applyProtection="1">
      <protection locked="0"/>
    </xf>
    <xf numFmtId="0" fontId="0" fillId="0" borderId="4" xfId="0" applyBorder="1"/>
    <xf numFmtId="2" fontId="0" fillId="0" borderId="4" xfId="0" applyNumberFormat="1" applyBorder="1"/>
    <xf numFmtId="164" fontId="0" fillId="0" borderId="1" xfId="0" applyNumberFormat="1" applyBorder="1"/>
    <xf numFmtId="171" fontId="0" fillId="0" borderId="1" xfId="0" applyNumberFormat="1" applyBorder="1"/>
    <xf numFmtId="2" fontId="0" fillId="0" borderId="1" xfId="0" applyNumberFormat="1" applyBorder="1"/>
    <xf numFmtId="164" fontId="0" fillId="0" borderId="0" xfId="0" applyNumberFormat="1"/>
    <xf numFmtId="2" fontId="0" fillId="0" borderId="0" xfId="0" applyNumberFormat="1"/>
    <xf numFmtId="164" fontId="0" fillId="0" borderId="2" xfId="0" applyNumberFormat="1" applyBorder="1"/>
    <xf numFmtId="2" fontId="0" fillId="0" borderId="2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0" fontId="15" fillId="5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165" fontId="12" fillId="5" borderId="28" xfId="1" applyNumberFormat="1" applyFont="1" applyFill="1" applyBorder="1" applyProtection="1"/>
    <xf numFmtId="0" fontId="11" fillId="5" borderId="5" xfId="0" applyFont="1" applyFill="1" applyBorder="1"/>
    <xf numFmtId="0" fontId="12" fillId="5" borderId="5" xfId="0" applyFont="1" applyFill="1" applyBorder="1"/>
    <xf numFmtId="0" fontId="12" fillId="5" borderId="3" xfId="0" applyFont="1" applyFill="1" applyBorder="1"/>
    <xf numFmtId="165" fontId="12" fillId="5" borderId="25" xfId="1" applyNumberFormat="1" applyFont="1" applyFill="1" applyBorder="1" applyProtection="1"/>
    <xf numFmtId="15" fontId="0" fillId="5" borderId="0" xfId="0" quotePrefix="1" applyNumberFormat="1" applyFill="1" applyAlignment="1">
      <alignment horizontal="right"/>
    </xf>
    <xf numFmtId="0" fontId="0" fillId="5" borderId="0" xfId="0" quotePrefix="1" applyFill="1" applyAlignment="1">
      <alignment horizontal="right"/>
    </xf>
    <xf numFmtId="170" fontId="0" fillId="2" borderId="4" xfId="1" applyNumberFormat="1" applyFont="1" applyFill="1" applyBorder="1" applyProtection="1">
      <protection locked="0"/>
    </xf>
    <xf numFmtId="1" fontId="0" fillId="5" borderId="32" xfId="2" applyNumberFormat="1" applyFont="1" applyFill="1" applyBorder="1" applyProtection="1"/>
    <xf numFmtId="165" fontId="12" fillId="5" borderId="29" xfId="1" applyNumberFormat="1" applyFont="1" applyFill="1" applyBorder="1" applyProtection="1"/>
    <xf numFmtId="165" fontId="12" fillId="5" borderId="32" xfId="1" applyNumberFormat="1" applyFont="1" applyFill="1" applyBorder="1" applyProtection="1"/>
    <xf numFmtId="165" fontId="12" fillId="0" borderId="29" xfId="1" applyNumberFormat="1" applyFont="1" applyFill="1" applyBorder="1" applyProtection="1"/>
    <xf numFmtId="167" fontId="10" fillId="4" borderId="31" xfId="2" applyNumberFormat="1" applyFont="1" applyFill="1" applyBorder="1" applyProtection="1"/>
    <xf numFmtId="167" fontId="6" fillId="5" borderId="29" xfId="2" applyNumberFormat="1" applyFont="1" applyFill="1" applyBorder="1" applyProtection="1"/>
    <xf numFmtId="167" fontId="6" fillId="5" borderId="32" xfId="2" applyNumberFormat="1" applyFont="1" applyFill="1" applyBorder="1" applyProtection="1"/>
    <xf numFmtId="167" fontId="10" fillId="4" borderId="27" xfId="2" applyNumberFormat="1" applyFont="1" applyFill="1" applyBorder="1" applyProtection="1"/>
    <xf numFmtId="167" fontId="10" fillId="5" borderId="29" xfId="2" applyNumberFormat="1" applyFont="1" applyFill="1" applyBorder="1" applyProtection="1"/>
    <xf numFmtId="164" fontId="6" fillId="5" borderId="29" xfId="0" applyNumberFormat="1" applyFont="1" applyFill="1" applyBorder="1"/>
    <xf numFmtId="10" fontId="0" fillId="2" borderId="8" xfId="3" applyNumberFormat="1" applyFont="1" applyFill="1" applyBorder="1" applyProtection="1">
      <protection locked="0"/>
    </xf>
    <xf numFmtId="10" fontId="7" fillId="3" borderId="4" xfId="3" applyNumberFormat="1" applyFont="1" applyFill="1" applyBorder="1" applyProtection="1"/>
    <xf numFmtId="9" fontId="7" fillId="3" borderId="6" xfId="3" applyFont="1" applyFill="1" applyBorder="1" applyProtection="1"/>
    <xf numFmtId="164" fontId="7" fillId="3" borderId="6" xfId="2" applyNumberFormat="1" applyFont="1" applyFill="1" applyBorder="1" applyProtection="1"/>
    <xf numFmtId="0" fontId="3" fillId="5" borderId="0" xfId="0" applyFont="1" applyFill="1" applyAlignment="1">
      <alignment horizontal="center" vertical="center"/>
    </xf>
    <xf numFmtId="0" fontId="0" fillId="5" borderId="11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2" fillId="5" borderId="0" xfId="0" applyFont="1" applyFill="1" applyAlignment="1">
      <alignment horizontal="right"/>
    </xf>
    <xf numFmtId="167" fontId="2" fillId="5" borderId="0" xfId="0" applyNumberFormat="1" applyFont="1" applyFill="1" applyAlignment="1" applyProtection="1">
      <alignment horizontal="center"/>
      <protection locked="0"/>
    </xf>
    <xf numFmtId="0" fontId="0" fillId="5" borderId="0" xfId="0" applyFill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ill>
        <patternFill patternType="mediumGray"/>
      </fill>
    </dxf>
    <dxf>
      <fill>
        <patternFill patternType="mediumGray"/>
      </fill>
    </dxf>
    <dxf>
      <fill>
        <patternFill patternType="darkGray">
          <f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40FA-7A13-4500-852D-EA03102CE7C1}">
  <sheetPr codeName="Sheet1">
    <pageSetUpPr fitToPage="1"/>
  </sheetPr>
  <dimension ref="A1:H47"/>
  <sheetViews>
    <sheetView zoomScaleNormal="100" workbookViewId="0">
      <selection activeCell="C14" sqref="C14"/>
    </sheetView>
  </sheetViews>
  <sheetFormatPr defaultColWidth="9.109375" defaultRowHeight="14.4" x14ac:dyDescent="0.3"/>
  <cols>
    <col min="1" max="1" width="9.109375" style="19"/>
    <col min="2" max="2" width="41" style="19" bestFit="1" customWidth="1"/>
    <col min="3" max="3" width="35" style="19" bestFit="1" customWidth="1"/>
    <col min="4" max="4" width="2.5546875" style="19" customWidth="1"/>
    <col min="5" max="5" width="22.109375" style="19" customWidth="1"/>
    <col min="6" max="6" width="22.44140625" style="19" bestFit="1" customWidth="1"/>
    <col min="7" max="16384" width="9.109375" style="19"/>
  </cols>
  <sheetData>
    <row r="1" spans="1:8" ht="18" x14ac:dyDescent="0.3">
      <c r="A1" s="140" t="s">
        <v>154</v>
      </c>
      <c r="B1" s="140"/>
      <c r="C1" s="46" t="s">
        <v>81</v>
      </c>
      <c r="D1" s="47"/>
      <c r="E1" s="124" t="s">
        <v>160</v>
      </c>
      <c r="F1" s="123"/>
    </row>
    <row r="3" spans="1:8" x14ac:dyDescent="0.3">
      <c r="B3" s="48" t="s">
        <v>15</v>
      </c>
      <c r="C3" s="81" t="s">
        <v>70</v>
      </c>
      <c r="D3" s="88" t="str">
        <f>HYPERLINK("#"&amp;ADDRESS(ROW(),COLUMN()-1),CHAR(128))</f>
        <v>€</v>
      </c>
      <c r="E3" s="49"/>
    </row>
    <row r="4" spans="1:8" x14ac:dyDescent="0.3">
      <c r="B4" s="50" t="s">
        <v>17</v>
      </c>
      <c r="C4" s="82" t="s">
        <v>47</v>
      </c>
      <c r="D4" s="89" t="str">
        <f>HYPERLINK("#"&amp;ADDRESS(ROW(),COLUMN()-1),CHAR(128))</f>
        <v>€</v>
      </c>
      <c r="E4" s="51"/>
      <c r="G4" s="52"/>
      <c r="H4" s="52"/>
    </row>
    <row r="5" spans="1:8" x14ac:dyDescent="0.3">
      <c r="B5" s="50" t="s">
        <v>76</v>
      </c>
      <c r="C5" s="83">
        <v>45000</v>
      </c>
      <c r="E5" s="51" t="s">
        <v>77</v>
      </c>
      <c r="G5" s="52"/>
      <c r="H5" s="52"/>
    </row>
    <row r="6" spans="1:8" x14ac:dyDescent="0.3">
      <c r="B6" s="50" t="s">
        <v>18</v>
      </c>
      <c r="C6" s="84">
        <v>45292</v>
      </c>
      <c r="E6" s="51"/>
      <c r="G6" s="52"/>
      <c r="H6" s="52"/>
    </row>
    <row r="7" spans="1:8" x14ac:dyDescent="0.3">
      <c r="B7" s="50" t="s">
        <v>53</v>
      </c>
      <c r="C7" s="84">
        <v>45352</v>
      </c>
      <c r="E7" s="51"/>
      <c r="G7" s="52"/>
      <c r="H7" s="52"/>
    </row>
    <row r="8" spans="1:8" x14ac:dyDescent="0.3">
      <c r="B8" s="53" t="s">
        <v>62</v>
      </c>
      <c r="C8" s="54">
        <f>IF(YEAR(Tax_Stat_Dt)-YEAR(Date_of_Operation)&lt;0,"Tax Status Date can not be before Date of Operation",YEAR(Tax_Stat_Dt)-YEAR(Date_of_Operation))</f>
        <v>0</v>
      </c>
      <c r="D8" s="55"/>
      <c r="E8" s="56"/>
      <c r="G8" s="52"/>
      <c r="H8" s="52"/>
    </row>
    <row r="9" spans="1:8" x14ac:dyDescent="0.3">
      <c r="B9" s="57"/>
      <c r="C9" s="58"/>
    </row>
    <row r="10" spans="1:8" x14ac:dyDescent="0.3">
      <c r="B10" s="59" t="s">
        <v>61</v>
      </c>
      <c r="C10" s="60">
        <f>IFERROR(IF(ValGroup=5,9.66%,IF(OR(ValGroup=4,ValGroup=3),7.16%,8%)),"")</f>
        <v>9.6600000000000005E-2</v>
      </c>
    </row>
    <row r="11" spans="1:8" x14ac:dyDescent="0.3">
      <c r="B11" s="61" t="s">
        <v>13</v>
      </c>
      <c r="C11" s="85">
        <v>2.2000000000000001E-3</v>
      </c>
    </row>
    <row r="12" spans="1:8" x14ac:dyDescent="0.3">
      <c r="B12" s="61" t="s">
        <v>14</v>
      </c>
      <c r="C12" s="62">
        <f>IFERROR(C10+C11,"")</f>
        <v>9.8799999999999999E-2</v>
      </c>
    </row>
    <row r="13" spans="1:8" x14ac:dyDescent="0.3">
      <c r="B13" s="57"/>
      <c r="C13" s="99"/>
    </row>
    <row r="14" spans="1:8" x14ac:dyDescent="0.3">
      <c r="B14" s="48" t="s">
        <v>155</v>
      </c>
      <c r="C14" s="125">
        <v>750000</v>
      </c>
    </row>
    <row r="15" spans="1:8" x14ac:dyDescent="0.3">
      <c r="B15" s="61" t="s">
        <v>159</v>
      </c>
      <c r="C15" s="136">
        <v>0.02</v>
      </c>
    </row>
    <row r="16" spans="1:8" x14ac:dyDescent="0.3">
      <c r="B16" s="57"/>
      <c r="C16" s="99"/>
    </row>
    <row r="17" spans="2:5" x14ac:dyDescent="0.3">
      <c r="B17" s="116" t="str">
        <f>IF($C$34&lt;=2,"Project is Solar and 5,000kW or less and is reimbursed at the VDER rate. Please input additional data below:","Project is Wind or Solar over 5,000kW (Tier One or Open Market) and no additional inputs are necessary.")</f>
        <v>Project is Wind or Solar over 5,000kW (Tier One or Open Market) and no additional inputs are necessary.</v>
      </c>
      <c r="C17" s="99"/>
    </row>
    <row r="18" spans="2:5" ht="15" thickBot="1" x14ac:dyDescent="0.35">
      <c r="B18" s="63"/>
      <c r="C18" s="58"/>
    </row>
    <row r="19" spans="2:5" x14ac:dyDescent="0.3">
      <c r="B19" s="64" t="s">
        <v>149</v>
      </c>
      <c r="C19" s="65"/>
      <c r="D19" s="66"/>
      <c r="E19" s="67"/>
    </row>
    <row r="20" spans="2:5" x14ac:dyDescent="0.3">
      <c r="B20" s="68" t="s">
        <v>44</v>
      </c>
      <c r="C20" s="86" t="s">
        <v>36</v>
      </c>
      <c r="D20" s="89" t="str">
        <f>HYPERLINK("#"&amp;ADDRESS(ROW(),COLUMN()-1),CHAR(128))</f>
        <v>€</v>
      </c>
      <c r="E20" s="69"/>
    </row>
    <row r="21" spans="2:5" x14ac:dyDescent="0.3">
      <c r="B21" s="68" t="s">
        <v>32</v>
      </c>
      <c r="C21" s="70">
        <f>VLOOKUP(Utility_Nm,DRV_MTC_Table,3,FALSE)</f>
        <v>0.21</v>
      </c>
      <c r="E21" s="69" t="s">
        <v>39</v>
      </c>
    </row>
    <row r="22" spans="2:5" x14ac:dyDescent="0.3">
      <c r="B22" s="68" t="s">
        <v>156</v>
      </c>
      <c r="C22" s="87">
        <v>0</v>
      </c>
      <c r="E22" s="69" t="s">
        <v>39</v>
      </c>
    </row>
    <row r="23" spans="2:5" x14ac:dyDescent="0.3">
      <c r="B23" s="68" t="s">
        <v>153</v>
      </c>
      <c r="C23" s="104">
        <v>0</v>
      </c>
      <c r="E23" s="69" t="s">
        <v>141</v>
      </c>
    </row>
    <row r="24" spans="2:5" x14ac:dyDescent="0.3">
      <c r="B24" s="141" t="s">
        <v>157</v>
      </c>
      <c r="C24" s="142"/>
      <c r="D24" s="142"/>
      <c r="E24" s="143"/>
    </row>
    <row r="25" spans="2:5" ht="15" thickBot="1" x14ac:dyDescent="0.35">
      <c r="B25" s="144"/>
      <c r="C25" s="145"/>
      <c r="D25" s="145"/>
      <c r="E25" s="146"/>
    </row>
    <row r="26" spans="2:5" x14ac:dyDescent="0.3">
      <c r="B26" s="57"/>
      <c r="C26" s="58"/>
    </row>
    <row r="27" spans="2:5" x14ac:dyDescent="0.3">
      <c r="B27" s="57"/>
      <c r="C27" s="58"/>
    </row>
    <row r="28" spans="2:5" x14ac:dyDescent="0.3">
      <c r="B28" s="57"/>
      <c r="C28" s="58"/>
    </row>
    <row r="29" spans="2:5" x14ac:dyDescent="0.3">
      <c r="B29" s="117" t="s">
        <v>150</v>
      </c>
      <c r="C29" s="137"/>
    </row>
    <row r="30" spans="2:5" x14ac:dyDescent="0.3">
      <c r="B30" s="71" t="s">
        <v>54</v>
      </c>
      <c r="C30" s="137">
        <f>VLOOKUP(Group_Zone,ValGroup_Tbl,2,FALSE)</f>
        <v>0.32251293036529566</v>
      </c>
    </row>
    <row r="31" spans="2:5" x14ac:dyDescent="0.3">
      <c r="B31" s="72" t="s">
        <v>31</v>
      </c>
      <c r="C31" s="76">
        <f>VLOOKUP(Group_Zone,ValGroup_Tbl,3,FALSE)</f>
        <v>38.752832772420433</v>
      </c>
    </row>
    <row r="32" spans="2:5" x14ac:dyDescent="0.3">
      <c r="B32" s="72" t="s">
        <v>137</v>
      </c>
      <c r="C32" s="138">
        <v>0.95</v>
      </c>
    </row>
    <row r="33" spans="2:3" x14ac:dyDescent="0.3">
      <c r="B33" s="72" t="s">
        <v>84</v>
      </c>
      <c r="C33" s="139">
        <f>IF(ValGroup=5,
ef_Base_Wind*((System_Size/1000)/ef_Pivot_Wind)^(IF((System_Size/1000)&gt;ef_Pivot_Wind,ef_ExpAbove_Wind,ef_ExpBelow_Wind)-1),
ef_Base_Solar*((System_Size/1000)/ef_Pivot_Solar)^(IF((System_Size/1000)&gt;ef_Pivot_Solar,ef_ExpAbove_Solar,ef_ExpBelow_Solar)-1))</f>
        <v>1.1182792025179809</v>
      </c>
    </row>
    <row r="34" spans="2:3" x14ac:dyDescent="0.3">
      <c r="B34" s="72" t="s">
        <v>60</v>
      </c>
      <c r="C34" s="73">
        <f>IF(Plant_Type="Land Based Wind",5,IF(Plant_Type="Solar - Fixed Axis",IF(System_Size&lt;=5000,1,3),IF(System_Size&lt;=5000,2,4)))</f>
        <v>5</v>
      </c>
    </row>
    <row r="35" spans="2:3" x14ac:dyDescent="0.3">
      <c r="B35" s="72" t="s">
        <v>15</v>
      </c>
      <c r="C35" s="74" t="str">
        <f>VLOOKUP(C3,NYISO_Zone_Lookup,2,FALSE)</f>
        <v>A</v>
      </c>
    </row>
    <row r="36" spans="2:3" x14ac:dyDescent="0.3">
      <c r="B36" s="72" t="s">
        <v>91</v>
      </c>
      <c r="C36" s="74" t="str">
        <f>ValGroup&amp;NYISOzone</f>
        <v>5A</v>
      </c>
    </row>
    <row r="37" spans="2:3" x14ac:dyDescent="0.3">
      <c r="B37" s="72" t="s">
        <v>138</v>
      </c>
      <c r="C37" s="74">
        <f>VLOOKUP(Utility_Nm,DRV_MTC_Table,2,FALSE)</f>
        <v>1.0840000000000001</v>
      </c>
    </row>
    <row r="38" spans="2:3" x14ac:dyDescent="0.3">
      <c r="B38" s="72" t="s">
        <v>29</v>
      </c>
      <c r="C38" s="73">
        <v>25</v>
      </c>
    </row>
    <row r="39" spans="2:3" x14ac:dyDescent="0.3">
      <c r="B39" s="72" t="s">
        <v>0</v>
      </c>
      <c r="C39" s="73">
        <v>5.0000000000000001E-3</v>
      </c>
    </row>
    <row r="40" spans="2:3" x14ac:dyDescent="0.3">
      <c r="B40" s="72" t="s">
        <v>1</v>
      </c>
      <c r="C40" s="75">
        <f>C5</f>
        <v>45000</v>
      </c>
    </row>
    <row r="41" spans="2:3" x14ac:dyDescent="0.3">
      <c r="B41" s="72" t="s">
        <v>2</v>
      </c>
      <c r="C41" s="75">
        <f>IF(C8&lt;C42,C8,C8-C42)</f>
        <v>0</v>
      </c>
    </row>
    <row r="42" spans="2:3" x14ac:dyDescent="0.3">
      <c r="B42" s="72" t="s">
        <v>19</v>
      </c>
      <c r="C42" s="75">
        <v>15</v>
      </c>
    </row>
    <row r="43" spans="2:3" x14ac:dyDescent="0.3">
      <c r="B43" s="72" t="s">
        <v>26</v>
      </c>
      <c r="C43" s="76">
        <f>IF(System_Size&lt;=5000,0.1,0.045)</f>
        <v>4.4999999999999998E-2</v>
      </c>
    </row>
    <row r="44" spans="2:3" x14ac:dyDescent="0.3">
      <c r="B44" s="77" t="s">
        <v>158</v>
      </c>
      <c r="C44" s="78">
        <v>0.02</v>
      </c>
    </row>
    <row r="45" spans="2:3" x14ac:dyDescent="0.3">
      <c r="B45" s="79"/>
      <c r="C45" s="80"/>
    </row>
    <row r="47" spans="2:3" x14ac:dyDescent="0.3">
      <c r="C47" s="23"/>
    </row>
  </sheetData>
  <sheetProtection algorithmName="SHA-512" hashValue="cCwTZIYXjHb8XwHfR/9eUlJ/18vS7jGrpCRVGGwcqOI4cxNzKcXfZoFdghnRE0zkA6VwOhbf7+TavMTC/KKyOQ==" saltValue="uaDLQd5xQWZYVPeGfEW9ew==" spinCount="100000" sheet="1" objects="1" scenarios="1" selectLockedCells="1"/>
  <mergeCells count="2">
    <mergeCell ref="A1:B1"/>
    <mergeCell ref="B24:E25"/>
  </mergeCells>
  <conditionalFormatting sqref="B19:E23 B24">
    <cfRule type="expression" dxfId="2" priority="6">
      <formula>IF($C$34&lt;=2,FALSE,TRUE)</formula>
    </cfRule>
  </conditionalFormatting>
  <dataValidations count="4">
    <dataValidation type="list" allowBlank="1" showInputMessage="1" showErrorMessage="1" sqref="C4" xr:uid="{2BC5A2EE-4E02-44DA-9567-CDD9D2A913BB}">
      <formula1>Plant_Type_Tbl</formula1>
    </dataValidation>
    <dataValidation type="list" allowBlank="1" showInputMessage="1" showErrorMessage="1" sqref="C3" xr:uid="{492760BA-C616-41DE-AE45-77015553CDC6}">
      <formula1>NYISO_Name</formula1>
    </dataValidation>
    <dataValidation type="date" errorStyle="information" allowBlank="1" showInputMessage="1" showErrorMessage="1" error="This model is intended for the 2022 Assessment Roll; Taxable Status Date is limited." sqref="C7" xr:uid="{43D42BC2-FF18-4496-BCB2-9865A11D6153}">
      <formula1>44378</formula1>
      <formula2>44926</formula2>
    </dataValidation>
    <dataValidation type="decimal" operator="greaterThan" allowBlank="1" showErrorMessage="1" error="Minimum allowable size for this model is 1000kW (1MW) AC." sqref="C5" xr:uid="{8D40F285-8352-40F6-AE97-3F85A3DC3394}">
      <formula1>999</formula1>
    </dataValidation>
  </dataValidations>
  <pageMargins left="0.25" right="0.25" top="0.25" bottom="0.25" header="0.3" footer="0.3"/>
  <pageSetup scale="67"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91E9FF-80DA-452A-B6C9-5077CC57DCFB}">
          <x14:formula1>
            <xm:f>ModelFactors!$N$2:$N$11</xm:f>
          </x14:formula1>
          <xm:sqref>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3508-94F7-43FD-8D20-7467B472FC60}">
  <dimension ref="A2:AA35"/>
  <sheetViews>
    <sheetView tabSelected="1" topLeftCell="A7" zoomScale="120" zoomScaleNormal="120" workbookViewId="0">
      <selection activeCell="D33" sqref="D33:E33"/>
    </sheetView>
  </sheetViews>
  <sheetFormatPr defaultColWidth="9.109375" defaultRowHeight="14.4" x14ac:dyDescent="0.3"/>
  <cols>
    <col min="1" max="1" width="3.88671875" style="19" customWidth="1"/>
    <col min="2" max="2" width="19.33203125" style="19" bestFit="1" customWidth="1"/>
    <col min="3" max="27" width="11.33203125" style="19" customWidth="1"/>
    <col min="28" max="16384" width="9.109375" style="19"/>
  </cols>
  <sheetData>
    <row r="2" spans="2:27" ht="15.6" x14ac:dyDescent="0.3">
      <c r="B2" s="17"/>
      <c r="C2" s="18">
        <f t="shared" ref="C2:AA2" si="0">YEAR(Date_of_Operation)-1+C3</f>
        <v>2024</v>
      </c>
      <c r="D2" s="18">
        <f t="shared" si="0"/>
        <v>2025</v>
      </c>
      <c r="E2" s="18">
        <f t="shared" si="0"/>
        <v>2026</v>
      </c>
      <c r="F2" s="18">
        <f t="shared" si="0"/>
        <v>2027</v>
      </c>
      <c r="G2" s="18">
        <f t="shared" si="0"/>
        <v>2028</v>
      </c>
      <c r="H2" s="18">
        <f t="shared" si="0"/>
        <v>2029</v>
      </c>
      <c r="I2" s="18">
        <f t="shared" si="0"/>
        <v>2030</v>
      </c>
      <c r="J2" s="18">
        <f t="shared" si="0"/>
        <v>2031</v>
      </c>
      <c r="K2" s="18">
        <f t="shared" si="0"/>
        <v>2032</v>
      </c>
      <c r="L2" s="18">
        <f t="shared" si="0"/>
        <v>2033</v>
      </c>
      <c r="M2" s="18">
        <f t="shared" si="0"/>
        <v>2034</v>
      </c>
      <c r="N2" s="18">
        <f t="shared" si="0"/>
        <v>2035</v>
      </c>
      <c r="O2" s="18">
        <f t="shared" si="0"/>
        <v>2036</v>
      </c>
      <c r="P2" s="18">
        <f t="shared" si="0"/>
        <v>2037</v>
      </c>
      <c r="Q2" s="18">
        <f t="shared" si="0"/>
        <v>2038</v>
      </c>
      <c r="R2" s="18">
        <f t="shared" si="0"/>
        <v>2039</v>
      </c>
      <c r="S2" s="18">
        <f t="shared" si="0"/>
        <v>2040</v>
      </c>
      <c r="T2" s="18">
        <f t="shared" si="0"/>
        <v>2041</v>
      </c>
      <c r="U2" s="18">
        <f t="shared" si="0"/>
        <v>2042</v>
      </c>
      <c r="V2" s="18">
        <f t="shared" si="0"/>
        <v>2043</v>
      </c>
      <c r="W2" s="18">
        <f t="shared" si="0"/>
        <v>2044</v>
      </c>
      <c r="X2" s="18">
        <f t="shared" si="0"/>
        <v>2045</v>
      </c>
      <c r="Y2" s="18">
        <f t="shared" si="0"/>
        <v>2046</v>
      </c>
      <c r="Z2" s="18">
        <f t="shared" si="0"/>
        <v>2047</v>
      </c>
      <c r="AA2" s="126">
        <f t="shared" si="0"/>
        <v>2048</v>
      </c>
    </row>
    <row r="3" spans="2:27" s="23" customFormat="1" x14ac:dyDescent="0.3">
      <c r="B3" s="20" t="s">
        <v>12</v>
      </c>
      <c r="C3" s="21">
        <v>1</v>
      </c>
      <c r="D3" s="21">
        <v>2</v>
      </c>
      <c r="E3" s="21">
        <v>3</v>
      </c>
      <c r="F3" s="21">
        <v>4</v>
      </c>
      <c r="G3" s="21">
        <v>5</v>
      </c>
      <c r="H3" s="21">
        <v>6</v>
      </c>
      <c r="I3" s="21">
        <v>7</v>
      </c>
      <c r="J3" s="21">
        <v>8</v>
      </c>
      <c r="K3" s="21">
        <v>9</v>
      </c>
      <c r="L3" s="21">
        <v>10</v>
      </c>
      <c r="M3" s="21">
        <v>11</v>
      </c>
      <c r="N3" s="21">
        <v>12</v>
      </c>
      <c r="O3" s="21">
        <v>13</v>
      </c>
      <c r="P3" s="21">
        <v>14</v>
      </c>
      <c r="Q3" s="21">
        <v>15</v>
      </c>
      <c r="R3" s="21">
        <v>16</v>
      </c>
      <c r="S3" s="21">
        <v>17</v>
      </c>
      <c r="T3" s="21">
        <v>18</v>
      </c>
      <c r="U3" s="21">
        <v>19</v>
      </c>
      <c r="V3" s="21">
        <v>20</v>
      </c>
      <c r="W3" s="21">
        <v>21</v>
      </c>
      <c r="X3" s="21">
        <v>22</v>
      </c>
      <c r="Y3" s="21">
        <v>23</v>
      </c>
      <c r="Z3" s="21">
        <v>24</v>
      </c>
      <c r="AA3" s="22">
        <v>25</v>
      </c>
    </row>
    <row r="4" spans="2:27" x14ac:dyDescent="0.3">
      <c r="B4" s="24"/>
      <c r="C4" s="25"/>
      <c r="D4" s="25"/>
      <c r="E4" s="25"/>
      <c r="F4" s="26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7"/>
    </row>
    <row r="5" spans="2:27" x14ac:dyDescent="0.3">
      <c r="B5" s="4" t="s">
        <v>16</v>
      </c>
      <c r="C5" s="28">
        <f t="shared" ref="C5:AA5" si="1">System_Size*24*VLOOKUP(C2,Days_per_Year,2,FALSE)*Zone_Eff*IF(ValGroup&lt;5,(1-(Degradation*C3)),1)</f>
        <v>127482911.11479406</v>
      </c>
      <c r="D5" s="28">
        <f t="shared" si="1"/>
        <v>127134597.14999954</v>
      </c>
      <c r="E5" s="28">
        <f t="shared" si="1"/>
        <v>127134597.14999954</v>
      </c>
      <c r="F5" s="28">
        <f t="shared" si="1"/>
        <v>127134597.14999954</v>
      </c>
      <c r="G5" s="28">
        <f t="shared" si="1"/>
        <v>127482911.11479406</v>
      </c>
      <c r="H5" s="28">
        <f t="shared" si="1"/>
        <v>127134597.14999954</v>
      </c>
      <c r="I5" s="28">
        <f t="shared" si="1"/>
        <v>127134597.14999954</v>
      </c>
      <c r="J5" s="28">
        <f t="shared" si="1"/>
        <v>127134597.14999954</v>
      </c>
      <c r="K5" s="28">
        <f t="shared" si="1"/>
        <v>127482911.11479406</v>
      </c>
      <c r="L5" s="28">
        <f t="shared" si="1"/>
        <v>127134597.14999954</v>
      </c>
      <c r="M5" s="28">
        <f t="shared" si="1"/>
        <v>127134597.14999954</v>
      </c>
      <c r="N5" s="28">
        <f t="shared" si="1"/>
        <v>127134597.14999954</v>
      </c>
      <c r="O5" s="28">
        <f t="shared" si="1"/>
        <v>127482911.11479406</v>
      </c>
      <c r="P5" s="28">
        <f t="shared" si="1"/>
        <v>127134597.14999954</v>
      </c>
      <c r="Q5" s="28">
        <f t="shared" si="1"/>
        <v>127134597.14999954</v>
      </c>
      <c r="R5" s="28">
        <f t="shared" si="1"/>
        <v>127134597.14999954</v>
      </c>
      <c r="S5" s="28">
        <f t="shared" si="1"/>
        <v>127482911.11479406</v>
      </c>
      <c r="T5" s="28">
        <f t="shared" si="1"/>
        <v>127134597.14999954</v>
      </c>
      <c r="U5" s="28">
        <f t="shared" si="1"/>
        <v>127134597.14999954</v>
      </c>
      <c r="V5" s="28">
        <f t="shared" si="1"/>
        <v>127134597.14999954</v>
      </c>
      <c r="W5" s="28">
        <f t="shared" si="1"/>
        <v>127482911.11479406</v>
      </c>
      <c r="X5" s="28">
        <f t="shared" si="1"/>
        <v>127134597.14999954</v>
      </c>
      <c r="Y5" s="28">
        <f t="shared" si="1"/>
        <v>127134597.14999954</v>
      </c>
      <c r="Z5" s="28">
        <f t="shared" si="1"/>
        <v>127134597.14999954</v>
      </c>
      <c r="AA5" s="29">
        <f t="shared" si="1"/>
        <v>127482911.11479406</v>
      </c>
    </row>
    <row r="6" spans="2:27" x14ac:dyDescent="0.3">
      <c r="B6" s="4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</row>
    <row r="7" spans="2:27" s="30" customFormat="1" ht="12" x14ac:dyDescent="0.25">
      <c r="B7" s="119" t="str">
        <f>IF(ValGroup&lt;3,"VDER Value Stack:","VDER not applicable")</f>
        <v>VDER not applicable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27"/>
    </row>
    <row r="8" spans="2:27" s="30" customFormat="1" ht="12" x14ac:dyDescent="0.25">
      <c r="B8" s="120" t="s">
        <v>45</v>
      </c>
      <c r="C8" s="118">
        <f t="shared" ref="C8:AA8" si="2">Fraction_of_Credits*IF((C3&lt;=System_Age),0,C5*Utility_Loss_Adj*(VLOOKUP(Plant_Type&amp;"-"&amp;NYISOzone,Forecast_Energy_Hrly,MATCH(C2,Forecast_Energy_Header,0),FALSE)/1000))</f>
        <v>4158735.3946476821</v>
      </c>
      <c r="D8" s="118">
        <f t="shared" si="2"/>
        <v>4219692.3530109758</v>
      </c>
      <c r="E8" s="118">
        <f t="shared" si="2"/>
        <v>4379603.6528656408</v>
      </c>
      <c r="F8" s="118">
        <f t="shared" si="2"/>
        <v>4313101.4519528151</v>
      </c>
      <c r="G8" s="118">
        <f t="shared" si="2"/>
        <v>4317424.3540890869</v>
      </c>
      <c r="H8" s="118">
        <f t="shared" si="2"/>
        <v>4465886.983462831</v>
      </c>
      <c r="I8" s="118">
        <f t="shared" si="2"/>
        <v>4629907.1645304849</v>
      </c>
      <c r="J8" s="118">
        <f t="shared" si="2"/>
        <v>4618297.4780082582</v>
      </c>
      <c r="K8" s="118">
        <f t="shared" si="2"/>
        <v>4600196.7482240964</v>
      </c>
      <c r="L8" s="118">
        <f t="shared" si="2"/>
        <v>4534396.4348899061</v>
      </c>
      <c r="M8" s="118">
        <f t="shared" si="2"/>
        <v>4569876.3290392179</v>
      </c>
      <c r="N8" s="118">
        <f t="shared" si="2"/>
        <v>4511890.9550782796</v>
      </c>
      <c r="O8" s="118">
        <f t="shared" si="2"/>
        <v>4568197.1315049957</v>
      </c>
      <c r="P8" s="118">
        <f t="shared" si="2"/>
        <v>4558310.7555575827</v>
      </c>
      <c r="Q8" s="118">
        <f t="shared" si="2"/>
        <v>4751517.9564868631</v>
      </c>
      <c r="R8" s="118">
        <f t="shared" si="2"/>
        <v>4744111.1980590774</v>
      </c>
      <c r="S8" s="118">
        <f t="shared" si="2"/>
        <v>4792335.638009714</v>
      </c>
      <c r="T8" s="118">
        <f t="shared" si="2"/>
        <v>4900863.4323168108</v>
      </c>
      <c r="U8" s="118">
        <f t="shared" si="2"/>
        <v>5064294.2670921078</v>
      </c>
      <c r="V8" s="118">
        <f t="shared" si="2"/>
        <v>5198080.3606786355</v>
      </c>
      <c r="W8" s="118">
        <f t="shared" si="2"/>
        <v>5430033.1540909018</v>
      </c>
      <c r="X8" s="118">
        <f t="shared" si="2"/>
        <v>5424292.597153903</v>
      </c>
      <c r="Y8" s="118">
        <f t="shared" si="2"/>
        <v>5605587.9945974089</v>
      </c>
      <c r="Z8" s="118">
        <f t="shared" si="2"/>
        <v>5622399.2417579247</v>
      </c>
      <c r="AA8" s="127">
        <f t="shared" si="2"/>
        <v>5712572.1593504697</v>
      </c>
    </row>
    <row r="9" spans="2:27" s="30" customFormat="1" ht="12" x14ac:dyDescent="0.25">
      <c r="B9" s="120" t="s">
        <v>46</v>
      </c>
      <c r="C9" s="118">
        <f t="shared" ref="C9:AA9" si="3">Fraction_of_Credits*IF((C3&lt;=System_Age),0,System_Size*VLOOKUP(Plant_Type&amp;"-"&amp;NYISOzone,Forecast_ICAP,MATCH(C2,Forecast_ICAP_Header,0),FALSE))</f>
        <v>210487.83123892767</v>
      </c>
      <c r="D9" s="118">
        <f t="shared" si="3"/>
        <v>236194.98633943577</v>
      </c>
      <c r="E9" s="118">
        <f t="shared" si="3"/>
        <v>261166.0683652295</v>
      </c>
      <c r="F9" s="118">
        <f t="shared" si="3"/>
        <v>284148.78709212225</v>
      </c>
      <c r="G9" s="118">
        <f t="shared" si="3"/>
        <v>299365.86962578434</v>
      </c>
      <c r="H9" s="118">
        <f t="shared" si="3"/>
        <v>313269.07037670375</v>
      </c>
      <c r="I9" s="118">
        <f t="shared" si="3"/>
        <v>308733.17819196772</v>
      </c>
      <c r="J9" s="118">
        <f t="shared" si="3"/>
        <v>318188.50395915273</v>
      </c>
      <c r="K9" s="118">
        <f t="shared" si="3"/>
        <v>351054.73214207916</v>
      </c>
      <c r="L9" s="118">
        <f t="shared" si="3"/>
        <v>353093.91179143765</v>
      </c>
      <c r="M9" s="118">
        <f t="shared" si="3"/>
        <v>361817.40680945164</v>
      </c>
      <c r="N9" s="118">
        <f t="shared" si="3"/>
        <v>364414.00658148486</v>
      </c>
      <c r="O9" s="118">
        <f t="shared" si="3"/>
        <v>380769.11344885145</v>
      </c>
      <c r="P9" s="118">
        <f t="shared" si="3"/>
        <v>391764.40821086429</v>
      </c>
      <c r="Q9" s="118">
        <f t="shared" si="3"/>
        <v>627262.54592226085</v>
      </c>
      <c r="R9" s="118">
        <f t="shared" si="3"/>
        <v>659807.5293931237</v>
      </c>
      <c r="S9" s="118">
        <f t="shared" si="3"/>
        <v>775009.09186064464</v>
      </c>
      <c r="T9" s="118">
        <f t="shared" si="3"/>
        <v>829008.6435286596</v>
      </c>
      <c r="U9" s="118">
        <f t="shared" si="3"/>
        <v>813797.3981440441</v>
      </c>
      <c r="V9" s="118">
        <f t="shared" si="3"/>
        <v>810258.3000900005</v>
      </c>
      <c r="W9" s="118">
        <f t="shared" si="3"/>
        <v>865738.41806537006</v>
      </c>
      <c r="X9" s="118">
        <f t="shared" si="3"/>
        <v>915203.17975193111</v>
      </c>
      <c r="Y9" s="118">
        <f t="shared" si="3"/>
        <v>919498.67188656249</v>
      </c>
      <c r="Z9" s="118">
        <f t="shared" si="3"/>
        <v>934638.90963033633</v>
      </c>
      <c r="AA9" s="127">
        <f t="shared" si="3"/>
        <v>1026174.306682108</v>
      </c>
    </row>
    <row r="10" spans="2:27" s="30" customFormat="1" ht="12" x14ac:dyDescent="0.25">
      <c r="B10" s="120" t="s">
        <v>32</v>
      </c>
      <c r="C10" s="118" t="e">
        <f t="shared" ref="C10" si="4">Fraction_of_Credits*IF((C3&lt;=System_Age),0,IF((C2&gt;=YEAR(Date_of_Operation)+10),System_Size*IF(ValGroup&lt;5,(1-(Degradation*C3)),1)*
VLOOKUP(IF(LEFT(Utility_Nm,5)="ConEd",Utility_Nm,"Default")&amp;"-"&amp;Plant_Type&amp;"-"&amp;NYISOzone,DRV_Factors,MATCH(C2,Forecast_Energy_Header,0),FALSE)
*DRV_Rate/2,System_Size*
VLOOKUP(IF(LEFT(Utility_Nm,5)="ConEd",Utility_Nm,"Default")&amp;"-"&amp;Plant_Type&amp;"-"&amp;NYISOzone,DRV_Factors,MATCH(C2,Forecast_Energy_Header,0),FALSE)
*DRV_Rate))</f>
        <v>#N/A</v>
      </c>
      <c r="D10" s="118" t="e">
        <f t="shared" ref="D10:AA10" si="5">Fraction_of_Credits*IF((D3&lt;=System_Age),0,IF((D2&gt;=YEAR(Date_of_Operation)+10),System_Size*IF(ValGroup&lt;5,(1-(Degradation*D3)),1)*
VLOOKUP(IF(LEFT(Utility_Nm,5)="ConEd",Utility_Nm,"Default")&amp;"-"&amp;Plant_Type&amp;"-"&amp;NYISOzone,DRV_Factors,MATCH(D2,Forecast_Energy_Header,0),FALSE)
*DRV_Rate/2,System_Size*
VLOOKUP(IF(LEFT(Utility_Nm,5)="ConEd",Utility_Nm,"Default")&amp;"-"&amp;Plant_Type&amp;"-"&amp;NYISOzone,DRV_Factors,MATCH(D2,Forecast_Energy_Header,0),FALSE)
*DRV_Rate))</f>
        <v>#N/A</v>
      </c>
      <c r="E10" s="118" t="e">
        <f t="shared" si="5"/>
        <v>#N/A</v>
      </c>
      <c r="F10" s="118" t="e">
        <f t="shared" si="5"/>
        <v>#N/A</v>
      </c>
      <c r="G10" s="118" t="e">
        <f t="shared" si="5"/>
        <v>#N/A</v>
      </c>
      <c r="H10" s="118" t="e">
        <f t="shared" si="5"/>
        <v>#N/A</v>
      </c>
      <c r="I10" s="118" t="e">
        <f t="shared" si="5"/>
        <v>#N/A</v>
      </c>
      <c r="J10" s="118" t="e">
        <f t="shared" si="5"/>
        <v>#N/A</v>
      </c>
      <c r="K10" s="118" t="e">
        <f t="shared" si="5"/>
        <v>#N/A</v>
      </c>
      <c r="L10" s="118" t="e">
        <f t="shared" si="5"/>
        <v>#N/A</v>
      </c>
      <c r="M10" s="118" t="e">
        <f t="shared" si="5"/>
        <v>#N/A</v>
      </c>
      <c r="N10" s="118" t="e">
        <f t="shared" si="5"/>
        <v>#N/A</v>
      </c>
      <c r="O10" s="118" t="e">
        <f t="shared" si="5"/>
        <v>#N/A</v>
      </c>
      <c r="P10" s="118" t="e">
        <f t="shared" si="5"/>
        <v>#N/A</v>
      </c>
      <c r="Q10" s="118" t="e">
        <f t="shared" si="5"/>
        <v>#N/A</v>
      </c>
      <c r="R10" s="118" t="e">
        <f t="shared" si="5"/>
        <v>#N/A</v>
      </c>
      <c r="S10" s="118" t="e">
        <f t="shared" si="5"/>
        <v>#N/A</v>
      </c>
      <c r="T10" s="118" t="e">
        <f t="shared" si="5"/>
        <v>#N/A</v>
      </c>
      <c r="U10" s="118" t="e">
        <f t="shared" si="5"/>
        <v>#N/A</v>
      </c>
      <c r="V10" s="118" t="e">
        <f t="shared" si="5"/>
        <v>#N/A</v>
      </c>
      <c r="W10" s="118" t="e">
        <f t="shared" si="5"/>
        <v>#N/A</v>
      </c>
      <c r="X10" s="118" t="e">
        <f t="shared" si="5"/>
        <v>#N/A</v>
      </c>
      <c r="Y10" s="118" t="e">
        <f t="shared" si="5"/>
        <v>#N/A</v>
      </c>
      <c r="Z10" s="118" t="e">
        <f t="shared" si="5"/>
        <v>#N/A</v>
      </c>
      <c r="AA10" s="127" t="e">
        <f t="shared" si="5"/>
        <v>#N/A</v>
      </c>
    </row>
    <row r="11" spans="2:27" s="30" customFormat="1" ht="12" x14ac:dyDescent="0.25">
      <c r="B11" s="120" t="s">
        <v>80</v>
      </c>
      <c r="C11" s="118">
        <f t="shared" ref="C11:AA11" si="6">Fraction_of_Credits*IF((C3&lt;=System_Age),0,C$5*CommCredit)</f>
        <v>0</v>
      </c>
      <c r="D11" s="118">
        <f t="shared" si="6"/>
        <v>0</v>
      </c>
      <c r="E11" s="118">
        <f t="shared" si="6"/>
        <v>0</v>
      </c>
      <c r="F11" s="118">
        <f t="shared" si="6"/>
        <v>0</v>
      </c>
      <c r="G11" s="118">
        <f t="shared" si="6"/>
        <v>0</v>
      </c>
      <c r="H11" s="118">
        <f t="shared" si="6"/>
        <v>0</v>
      </c>
      <c r="I11" s="118">
        <f t="shared" si="6"/>
        <v>0</v>
      </c>
      <c r="J11" s="118">
        <f t="shared" si="6"/>
        <v>0</v>
      </c>
      <c r="K11" s="118">
        <f t="shared" si="6"/>
        <v>0</v>
      </c>
      <c r="L11" s="118">
        <f t="shared" si="6"/>
        <v>0</v>
      </c>
      <c r="M11" s="118">
        <f t="shared" si="6"/>
        <v>0</v>
      </c>
      <c r="N11" s="118">
        <f t="shared" si="6"/>
        <v>0</v>
      </c>
      <c r="O11" s="118">
        <f t="shared" si="6"/>
        <v>0</v>
      </c>
      <c r="P11" s="118">
        <f t="shared" si="6"/>
        <v>0</v>
      </c>
      <c r="Q11" s="118">
        <f t="shared" si="6"/>
        <v>0</v>
      </c>
      <c r="R11" s="118">
        <f t="shared" si="6"/>
        <v>0</v>
      </c>
      <c r="S11" s="118">
        <f t="shared" si="6"/>
        <v>0</v>
      </c>
      <c r="T11" s="118">
        <f t="shared" si="6"/>
        <v>0</v>
      </c>
      <c r="U11" s="118">
        <f t="shared" si="6"/>
        <v>0</v>
      </c>
      <c r="V11" s="118">
        <f t="shared" si="6"/>
        <v>0</v>
      </c>
      <c r="W11" s="118">
        <f t="shared" si="6"/>
        <v>0</v>
      </c>
      <c r="X11" s="118">
        <f t="shared" si="6"/>
        <v>0</v>
      </c>
      <c r="Y11" s="118">
        <f t="shared" si="6"/>
        <v>0</v>
      </c>
      <c r="Z11" s="118">
        <f t="shared" si="6"/>
        <v>0</v>
      </c>
      <c r="AA11" s="127">
        <f t="shared" si="6"/>
        <v>0</v>
      </c>
    </row>
    <row r="12" spans="2:27" s="30" customFormat="1" ht="12" x14ac:dyDescent="0.25">
      <c r="B12" s="120" t="s">
        <v>140</v>
      </c>
      <c r="C12" s="118">
        <f t="shared" ref="C12:AA12" si="7">Fraction_of_Credits*IF((C3&lt;=System_Age),0,IFERROR(CHOOSE(C3,CommAdder*0.5,CommAdder*0.25,CommAdder*0.25),0))</f>
        <v>0</v>
      </c>
      <c r="D12" s="118">
        <f t="shared" si="7"/>
        <v>0</v>
      </c>
      <c r="E12" s="118">
        <f t="shared" si="7"/>
        <v>0</v>
      </c>
      <c r="F12" s="118">
        <f t="shared" si="7"/>
        <v>0</v>
      </c>
      <c r="G12" s="118">
        <f t="shared" si="7"/>
        <v>0</v>
      </c>
      <c r="H12" s="118">
        <f t="shared" si="7"/>
        <v>0</v>
      </c>
      <c r="I12" s="118">
        <f t="shared" si="7"/>
        <v>0</v>
      </c>
      <c r="J12" s="118">
        <f t="shared" si="7"/>
        <v>0</v>
      </c>
      <c r="K12" s="118">
        <f t="shared" si="7"/>
        <v>0</v>
      </c>
      <c r="L12" s="118">
        <f t="shared" si="7"/>
        <v>0</v>
      </c>
      <c r="M12" s="118">
        <f t="shared" si="7"/>
        <v>0</v>
      </c>
      <c r="N12" s="118">
        <f t="shared" si="7"/>
        <v>0</v>
      </c>
      <c r="O12" s="118">
        <f t="shared" si="7"/>
        <v>0</v>
      </c>
      <c r="P12" s="118">
        <f t="shared" si="7"/>
        <v>0</v>
      </c>
      <c r="Q12" s="118">
        <f t="shared" si="7"/>
        <v>0</v>
      </c>
      <c r="R12" s="118">
        <f t="shared" si="7"/>
        <v>0</v>
      </c>
      <c r="S12" s="118">
        <f t="shared" si="7"/>
        <v>0</v>
      </c>
      <c r="T12" s="118">
        <f t="shared" si="7"/>
        <v>0</v>
      </c>
      <c r="U12" s="118">
        <f t="shared" si="7"/>
        <v>0</v>
      </c>
      <c r="V12" s="118">
        <f t="shared" si="7"/>
        <v>0</v>
      </c>
      <c r="W12" s="118">
        <f t="shared" si="7"/>
        <v>0</v>
      </c>
      <c r="X12" s="118">
        <f t="shared" si="7"/>
        <v>0</v>
      </c>
      <c r="Y12" s="118">
        <f t="shared" si="7"/>
        <v>0</v>
      </c>
      <c r="Z12" s="118">
        <f t="shared" si="7"/>
        <v>0</v>
      </c>
      <c r="AA12" s="127">
        <f t="shared" si="7"/>
        <v>0</v>
      </c>
    </row>
    <row r="13" spans="2:27" s="30" customFormat="1" ht="12" x14ac:dyDescent="0.25">
      <c r="B13" s="121" t="s">
        <v>151</v>
      </c>
      <c r="C13" s="122" t="e">
        <f>SUM(C8:C12)</f>
        <v>#N/A</v>
      </c>
      <c r="D13" s="122" t="e">
        <f t="shared" ref="D13:AA13" si="8">SUM(D8:D12)</f>
        <v>#N/A</v>
      </c>
      <c r="E13" s="122" t="e">
        <f t="shared" si="8"/>
        <v>#N/A</v>
      </c>
      <c r="F13" s="122" t="e">
        <f t="shared" si="8"/>
        <v>#N/A</v>
      </c>
      <c r="G13" s="122" t="e">
        <f t="shared" si="8"/>
        <v>#N/A</v>
      </c>
      <c r="H13" s="122" t="e">
        <f t="shared" si="8"/>
        <v>#N/A</v>
      </c>
      <c r="I13" s="122" t="e">
        <f t="shared" si="8"/>
        <v>#N/A</v>
      </c>
      <c r="J13" s="122" t="e">
        <f t="shared" si="8"/>
        <v>#N/A</v>
      </c>
      <c r="K13" s="122" t="e">
        <f t="shared" si="8"/>
        <v>#N/A</v>
      </c>
      <c r="L13" s="122" t="e">
        <f t="shared" si="8"/>
        <v>#N/A</v>
      </c>
      <c r="M13" s="122" t="e">
        <f t="shared" si="8"/>
        <v>#N/A</v>
      </c>
      <c r="N13" s="122" t="e">
        <f t="shared" si="8"/>
        <v>#N/A</v>
      </c>
      <c r="O13" s="122" t="e">
        <f t="shared" si="8"/>
        <v>#N/A</v>
      </c>
      <c r="P13" s="122" t="e">
        <f t="shared" si="8"/>
        <v>#N/A</v>
      </c>
      <c r="Q13" s="122" t="e">
        <f t="shared" si="8"/>
        <v>#N/A</v>
      </c>
      <c r="R13" s="122" t="e">
        <f t="shared" si="8"/>
        <v>#N/A</v>
      </c>
      <c r="S13" s="122" t="e">
        <f t="shared" si="8"/>
        <v>#N/A</v>
      </c>
      <c r="T13" s="122" t="e">
        <f t="shared" si="8"/>
        <v>#N/A</v>
      </c>
      <c r="U13" s="122" t="e">
        <f t="shared" si="8"/>
        <v>#N/A</v>
      </c>
      <c r="V13" s="122" t="e">
        <f t="shared" si="8"/>
        <v>#N/A</v>
      </c>
      <c r="W13" s="122" t="e">
        <f t="shared" si="8"/>
        <v>#N/A</v>
      </c>
      <c r="X13" s="122" t="e">
        <f t="shared" si="8"/>
        <v>#N/A</v>
      </c>
      <c r="Y13" s="122" t="e">
        <f t="shared" si="8"/>
        <v>#N/A</v>
      </c>
      <c r="Z13" s="122" t="e">
        <f t="shared" si="8"/>
        <v>#N/A</v>
      </c>
      <c r="AA13" s="128" t="e">
        <f t="shared" si="8"/>
        <v>#N/A</v>
      </c>
    </row>
    <row r="14" spans="2:27" s="30" customFormat="1" ht="12" x14ac:dyDescent="0.25"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129"/>
    </row>
    <row r="15" spans="2:27" s="30" customFormat="1" ht="12" x14ac:dyDescent="0.25">
      <c r="B15" s="119" t="str">
        <f>IF(ValGroup&gt;=3,"Tier 1:","Tier 1 not applicable")</f>
        <v>Tier 1: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27"/>
    </row>
    <row r="16" spans="2:27" s="30" customFormat="1" ht="12" x14ac:dyDescent="0.25">
      <c r="B16" s="120" t="s">
        <v>45</v>
      </c>
      <c r="C16" s="118">
        <f t="shared" ref="C16:AA16" si="9">IF((C3&lt;=System_Age),0,C5*(VLOOKUP(Plant_Type&amp;"-"&amp;NYISOzone,Forecast_Energy_Hrly,MATCH(C2,Forecast_Energy_Header,0),FALSE)/1000))</f>
        <v>4038391.3329264726</v>
      </c>
      <c r="D16" s="118">
        <f t="shared" si="9"/>
        <v>4097584.3396882657</v>
      </c>
      <c r="E16" s="118">
        <f t="shared" si="9"/>
        <v>4252868.1810697624</v>
      </c>
      <c r="F16" s="118">
        <f t="shared" si="9"/>
        <v>4188290.3980897409</v>
      </c>
      <c r="G16" s="118">
        <f t="shared" si="9"/>
        <v>4192488.2055632998</v>
      </c>
      <c r="H16" s="118">
        <f t="shared" si="9"/>
        <v>4336654.6741724908</v>
      </c>
      <c r="I16" s="118">
        <f t="shared" si="9"/>
        <v>4495928.495368504</v>
      </c>
      <c r="J16" s="118">
        <f t="shared" si="9"/>
        <v>4484654.7659819955</v>
      </c>
      <c r="K16" s="118">
        <f t="shared" si="9"/>
        <v>4467077.8289222131</v>
      </c>
      <c r="L16" s="118">
        <f t="shared" si="9"/>
        <v>4403181.6225382658</v>
      </c>
      <c r="M16" s="118">
        <f t="shared" si="9"/>
        <v>4437634.8116519889</v>
      </c>
      <c r="N16" s="118">
        <f t="shared" si="9"/>
        <v>4381327.3986</v>
      </c>
      <c r="O16" s="118">
        <f t="shared" si="9"/>
        <v>4436004.2061613863</v>
      </c>
      <c r="P16" s="118">
        <f t="shared" si="9"/>
        <v>4426403.9187779985</v>
      </c>
      <c r="Q16" s="118">
        <f t="shared" si="9"/>
        <v>4614020.1558427494</v>
      </c>
      <c r="R16" s="118">
        <f t="shared" si="9"/>
        <v>4606827.7316557365</v>
      </c>
      <c r="S16" s="118">
        <f t="shared" si="9"/>
        <v>4653656.6692655981</v>
      </c>
      <c r="T16" s="118">
        <f t="shared" si="9"/>
        <v>4759043.9233995061</v>
      </c>
      <c r="U16" s="118">
        <f t="shared" si="9"/>
        <v>4917745.4526044941</v>
      </c>
      <c r="V16" s="118">
        <f t="shared" si="9"/>
        <v>5047660.0899967328</v>
      </c>
      <c r="W16" s="118">
        <f t="shared" si="9"/>
        <v>5272900.71284803</v>
      </c>
      <c r="X16" s="118">
        <f t="shared" si="9"/>
        <v>5267326.2741832435</v>
      </c>
      <c r="Y16" s="118">
        <f t="shared" si="9"/>
        <v>5443375.4074552432</v>
      </c>
      <c r="Z16" s="118">
        <f t="shared" si="9"/>
        <v>5459700.1764982762</v>
      </c>
      <c r="AA16" s="127">
        <f t="shared" si="9"/>
        <v>5547263.701058913</v>
      </c>
    </row>
    <row r="17" spans="1:27" s="30" customFormat="1" ht="12" x14ac:dyDescent="0.25">
      <c r="B17" s="120" t="s">
        <v>46</v>
      </c>
      <c r="C17" s="118">
        <f t="shared" ref="C17:AA17" si="10">IF((C3&lt;=System_Age),0,System_Size*VLOOKUP(Plant_Type&amp;"-"&amp;NYISOzone,Forecast_ICAP,MATCH(C2,Forecast_ICAP_Header,0),FALSE))</f>
        <v>221566.13814623965</v>
      </c>
      <c r="D17" s="118">
        <f t="shared" si="10"/>
        <v>248626.30140993241</v>
      </c>
      <c r="E17" s="118">
        <f t="shared" si="10"/>
        <v>274911.6509107679</v>
      </c>
      <c r="F17" s="118">
        <f t="shared" si="10"/>
        <v>299103.98641276028</v>
      </c>
      <c r="G17" s="118">
        <f t="shared" si="10"/>
        <v>315121.96802714141</v>
      </c>
      <c r="H17" s="118">
        <f t="shared" si="10"/>
        <v>329756.91618600395</v>
      </c>
      <c r="I17" s="118">
        <f t="shared" si="10"/>
        <v>324982.29283365025</v>
      </c>
      <c r="J17" s="118">
        <f t="shared" si="10"/>
        <v>334935.26732542395</v>
      </c>
      <c r="K17" s="118">
        <f t="shared" si="10"/>
        <v>369531.2969916623</v>
      </c>
      <c r="L17" s="118">
        <f t="shared" si="10"/>
        <v>371677.80188572383</v>
      </c>
      <c r="M17" s="118">
        <f t="shared" si="10"/>
        <v>380860.42822047544</v>
      </c>
      <c r="N17" s="118">
        <f t="shared" si="10"/>
        <v>383593.69113840512</v>
      </c>
      <c r="O17" s="118">
        <f t="shared" si="10"/>
        <v>400809.59310405416</v>
      </c>
      <c r="P17" s="118">
        <f t="shared" si="10"/>
        <v>412383.58759038348</v>
      </c>
      <c r="Q17" s="118">
        <f t="shared" si="10"/>
        <v>660276.36412869568</v>
      </c>
      <c r="R17" s="118">
        <f t="shared" si="10"/>
        <v>694534.24146644608</v>
      </c>
      <c r="S17" s="118">
        <f t="shared" si="10"/>
        <v>815799.04406383645</v>
      </c>
      <c r="T17" s="118">
        <f t="shared" si="10"/>
        <v>872640.67739858909</v>
      </c>
      <c r="U17" s="118">
        <f t="shared" si="10"/>
        <v>856628.84015162545</v>
      </c>
      <c r="V17" s="118">
        <f t="shared" si="10"/>
        <v>852903.47377894795</v>
      </c>
      <c r="W17" s="118">
        <f t="shared" si="10"/>
        <v>911303.59796354745</v>
      </c>
      <c r="X17" s="118">
        <f t="shared" si="10"/>
        <v>963371.76815992757</v>
      </c>
      <c r="Y17" s="118">
        <f t="shared" si="10"/>
        <v>967893.33882796054</v>
      </c>
      <c r="Z17" s="118">
        <f t="shared" si="10"/>
        <v>983830.43118982774</v>
      </c>
      <c r="AA17" s="127">
        <f t="shared" si="10"/>
        <v>1080183.4807180085</v>
      </c>
    </row>
    <row r="18" spans="1:27" s="30" customFormat="1" ht="12" x14ac:dyDescent="0.25">
      <c r="B18" s="121" t="s">
        <v>152</v>
      </c>
      <c r="C18" s="122">
        <f t="shared" ref="C18:AA18" si="11">SUM(C16:C17)</f>
        <v>4259957.471072712</v>
      </c>
      <c r="D18" s="122">
        <f t="shared" si="11"/>
        <v>4346210.6410981985</v>
      </c>
      <c r="E18" s="122">
        <f t="shared" si="11"/>
        <v>4527779.8319805302</v>
      </c>
      <c r="F18" s="122">
        <f t="shared" si="11"/>
        <v>4487394.3845025012</v>
      </c>
      <c r="G18" s="122">
        <f t="shared" si="11"/>
        <v>4507610.1735904412</v>
      </c>
      <c r="H18" s="122">
        <f t="shared" si="11"/>
        <v>4666411.5903584948</v>
      </c>
      <c r="I18" s="122">
        <f t="shared" si="11"/>
        <v>4820910.7882021545</v>
      </c>
      <c r="J18" s="122">
        <f t="shared" si="11"/>
        <v>4819590.0333074192</v>
      </c>
      <c r="K18" s="122">
        <f t="shared" si="11"/>
        <v>4836609.1259138752</v>
      </c>
      <c r="L18" s="122">
        <f t="shared" si="11"/>
        <v>4774859.4244239898</v>
      </c>
      <c r="M18" s="122">
        <f t="shared" si="11"/>
        <v>4818495.239872464</v>
      </c>
      <c r="N18" s="122">
        <f t="shared" si="11"/>
        <v>4764921.0897384053</v>
      </c>
      <c r="O18" s="122">
        <f t="shared" si="11"/>
        <v>4836813.7992654406</v>
      </c>
      <c r="P18" s="122">
        <f t="shared" si="11"/>
        <v>4838787.5063683819</v>
      </c>
      <c r="Q18" s="122">
        <f t="shared" si="11"/>
        <v>5274296.5199714452</v>
      </c>
      <c r="R18" s="122">
        <f t="shared" si="11"/>
        <v>5301361.9731221823</v>
      </c>
      <c r="S18" s="122">
        <f t="shared" si="11"/>
        <v>5469455.7133294344</v>
      </c>
      <c r="T18" s="122">
        <f t="shared" si="11"/>
        <v>5631684.6007980956</v>
      </c>
      <c r="U18" s="122">
        <f t="shared" si="11"/>
        <v>5774374.2927561197</v>
      </c>
      <c r="V18" s="122">
        <f t="shared" si="11"/>
        <v>5900563.563775681</v>
      </c>
      <c r="W18" s="122">
        <f t="shared" si="11"/>
        <v>6184204.3108115774</v>
      </c>
      <c r="X18" s="122">
        <f t="shared" si="11"/>
        <v>6230698.0423431713</v>
      </c>
      <c r="Y18" s="122">
        <f t="shared" si="11"/>
        <v>6411268.7462832034</v>
      </c>
      <c r="Z18" s="122">
        <f t="shared" si="11"/>
        <v>6443530.6076881038</v>
      </c>
      <c r="AA18" s="128">
        <f t="shared" si="11"/>
        <v>6627447.1817769213</v>
      </c>
    </row>
    <row r="19" spans="1:27" x14ac:dyDescent="0.3">
      <c r="B19" s="4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9"/>
    </row>
    <row r="20" spans="1:27" s="33" customFormat="1" x14ac:dyDescent="0.3">
      <c r="B20" s="34" t="s">
        <v>24</v>
      </c>
      <c r="C20" s="35">
        <f t="shared" ref="C20:AA20" si="12">IF((C3&lt;=System_Age),0,IF(ValGroup&lt;3,C13,C18))</f>
        <v>4259957.471072712</v>
      </c>
      <c r="D20" s="35">
        <f t="shared" si="12"/>
        <v>4346210.6410981985</v>
      </c>
      <c r="E20" s="35">
        <f t="shared" si="12"/>
        <v>4527779.8319805302</v>
      </c>
      <c r="F20" s="35">
        <f t="shared" si="12"/>
        <v>4487394.3845025012</v>
      </c>
      <c r="G20" s="35">
        <f t="shared" si="12"/>
        <v>4507610.1735904412</v>
      </c>
      <c r="H20" s="35">
        <f t="shared" si="12"/>
        <v>4666411.5903584948</v>
      </c>
      <c r="I20" s="35">
        <f t="shared" si="12"/>
        <v>4820910.7882021545</v>
      </c>
      <c r="J20" s="35">
        <f t="shared" si="12"/>
        <v>4819590.0333074192</v>
      </c>
      <c r="K20" s="35">
        <f t="shared" si="12"/>
        <v>4836609.1259138752</v>
      </c>
      <c r="L20" s="35">
        <f t="shared" si="12"/>
        <v>4774859.4244239898</v>
      </c>
      <c r="M20" s="35">
        <f t="shared" si="12"/>
        <v>4818495.239872464</v>
      </c>
      <c r="N20" s="35">
        <f t="shared" si="12"/>
        <v>4764921.0897384053</v>
      </c>
      <c r="O20" s="35">
        <f t="shared" si="12"/>
        <v>4836813.7992654406</v>
      </c>
      <c r="P20" s="35">
        <f t="shared" si="12"/>
        <v>4838787.5063683819</v>
      </c>
      <c r="Q20" s="35">
        <f t="shared" si="12"/>
        <v>5274296.5199714452</v>
      </c>
      <c r="R20" s="35">
        <f t="shared" si="12"/>
        <v>5301361.9731221823</v>
      </c>
      <c r="S20" s="35">
        <f t="shared" si="12"/>
        <v>5469455.7133294344</v>
      </c>
      <c r="T20" s="35">
        <f t="shared" si="12"/>
        <v>5631684.6007980956</v>
      </c>
      <c r="U20" s="35">
        <f t="shared" si="12"/>
        <v>5774374.2927561197</v>
      </c>
      <c r="V20" s="35">
        <f t="shared" si="12"/>
        <v>5900563.563775681</v>
      </c>
      <c r="W20" s="35">
        <f t="shared" si="12"/>
        <v>6184204.3108115774</v>
      </c>
      <c r="X20" s="35">
        <f t="shared" si="12"/>
        <v>6230698.0423431713</v>
      </c>
      <c r="Y20" s="35">
        <f t="shared" si="12"/>
        <v>6411268.7462832034</v>
      </c>
      <c r="Z20" s="35">
        <f t="shared" si="12"/>
        <v>6443530.6076881038</v>
      </c>
      <c r="AA20" s="130">
        <f t="shared" si="12"/>
        <v>6627447.1817769213</v>
      </c>
    </row>
    <row r="21" spans="1:27" x14ac:dyDescent="0.3">
      <c r="B21" s="2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131"/>
    </row>
    <row r="22" spans="1:27" x14ac:dyDescent="0.3">
      <c r="B22" s="37" t="s">
        <v>78</v>
      </c>
      <c r="C22" s="38">
        <f t="shared" ref="C22:AA22" si="13">IF((C3&lt;=System_Age),0,System_Size*Zone_Exp*Expense_Scale*(1+Inflation)^(C3-1-System_Age))</f>
        <v>1950141.9117624748</v>
      </c>
      <c r="D22" s="38">
        <f t="shared" si="13"/>
        <v>1989144.7499977243</v>
      </c>
      <c r="E22" s="38">
        <f t="shared" si="13"/>
        <v>2028927.6449976787</v>
      </c>
      <c r="F22" s="38">
        <f t="shared" si="13"/>
        <v>2069506.1978976321</v>
      </c>
      <c r="G22" s="38">
        <f t="shared" si="13"/>
        <v>2110896.3218555851</v>
      </c>
      <c r="H22" s="38">
        <f t="shared" si="13"/>
        <v>2153114.2482926967</v>
      </c>
      <c r="I22" s="38">
        <f t="shared" si="13"/>
        <v>2196176.5332585508</v>
      </c>
      <c r="J22" s="38">
        <f t="shared" si="13"/>
        <v>2240100.0639237212</v>
      </c>
      <c r="K22" s="38">
        <f t="shared" si="13"/>
        <v>2284902.0652021961</v>
      </c>
      <c r="L22" s="38">
        <f t="shared" si="13"/>
        <v>2330600.1065062401</v>
      </c>
      <c r="M22" s="38">
        <f t="shared" si="13"/>
        <v>2377212.1086363648</v>
      </c>
      <c r="N22" s="38">
        <f t="shared" si="13"/>
        <v>2424756.3508090917</v>
      </c>
      <c r="O22" s="38">
        <f t="shared" si="13"/>
        <v>2473251.4778252738</v>
      </c>
      <c r="P22" s="38">
        <f t="shared" si="13"/>
        <v>2522716.5073817791</v>
      </c>
      <c r="Q22" s="38">
        <f t="shared" si="13"/>
        <v>2573170.8375294148</v>
      </c>
      <c r="R22" s="38">
        <f t="shared" si="13"/>
        <v>2624634.2542800028</v>
      </c>
      <c r="S22" s="38">
        <f t="shared" si="13"/>
        <v>2677126.939365603</v>
      </c>
      <c r="T22" s="38">
        <f t="shared" si="13"/>
        <v>2730669.4781529154</v>
      </c>
      <c r="U22" s="38">
        <f t="shared" si="13"/>
        <v>2785282.8677159734</v>
      </c>
      <c r="V22" s="38">
        <f t="shared" si="13"/>
        <v>2840988.5250702929</v>
      </c>
      <c r="W22" s="38">
        <f t="shared" si="13"/>
        <v>2897808.2955716988</v>
      </c>
      <c r="X22" s="38">
        <f t="shared" si="13"/>
        <v>2955764.4614831326</v>
      </c>
      <c r="Y22" s="38">
        <f t="shared" si="13"/>
        <v>3014879.7507127956</v>
      </c>
      <c r="Z22" s="38">
        <f t="shared" si="13"/>
        <v>3075177.3457270507</v>
      </c>
      <c r="AA22" s="132">
        <f t="shared" si="13"/>
        <v>3136680.8926415918</v>
      </c>
    </row>
    <row r="23" spans="1:27" x14ac:dyDescent="0.3">
      <c r="B23" s="24" t="s">
        <v>127</v>
      </c>
      <c r="C23" s="36">
        <f t="shared" ref="C23:AA23" si="14">IF((C3&lt;=System_Age),0,Ground_Lease_Ann*(1+Ground_Lease_Esc)^(C3-1))</f>
        <v>750000</v>
      </c>
      <c r="D23" s="36">
        <f t="shared" si="14"/>
        <v>765000</v>
      </c>
      <c r="E23" s="36">
        <f t="shared" si="14"/>
        <v>780300</v>
      </c>
      <c r="F23" s="36">
        <f t="shared" si="14"/>
        <v>795906</v>
      </c>
      <c r="G23" s="36">
        <f t="shared" si="14"/>
        <v>811824.12</v>
      </c>
      <c r="H23" s="36">
        <f t="shared" si="14"/>
        <v>828060.60239999997</v>
      </c>
      <c r="I23" s="36">
        <f t="shared" si="14"/>
        <v>844621.81444800005</v>
      </c>
      <c r="J23" s="36">
        <f t="shared" si="14"/>
        <v>861514.25073695986</v>
      </c>
      <c r="K23" s="36">
        <f t="shared" si="14"/>
        <v>878744.53575169912</v>
      </c>
      <c r="L23" s="36">
        <f t="shared" si="14"/>
        <v>896319.4264667331</v>
      </c>
      <c r="M23" s="36">
        <f t="shared" si="14"/>
        <v>914245.81499606778</v>
      </c>
      <c r="N23" s="36">
        <f t="shared" si="14"/>
        <v>932530.73129598901</v>
      </c>
      <c r="O23" s="36">
        <f t="shared" si="14"/>
        <v>951181.34592190897</v>
      </c>
      <c r="P23" s="36">
        <f t="shared" si="14"/>
        <v>970204.97284034709</v>
      </c>
      <c r="Q23" s="36">
        <f t="shared" si="14"/>
        <v>989609.07229715411</v>
      </c>
      <c r="R23" s="36">
        <f t="shared" si="14"/>
        <v>1009401.253743097</v>
      </c>
      <c r="S23" s="36">
        <f t="shared" si="14"/>
        <v>1029589.278817959</v>
      </c>
      <c r="T23" s="36">
        <f t="shared" si="14"/>
        <v>1050181.0643943183</v>
      </c>
      <c r="U23" s="36">
        <f t="shared" si="14"/>
        <v>1071184.6856822046</v>
      </c>
      <c r="V23" s="36">
        <f t="shared" si="14"/>
        <v>1092608.3793958486</v>
      </c>
      <c r="W23" s="36">
        <f t="shared" si="14"/>
        <v>1114460.5469837657</v>
      </c>
      <c r="X23" s="36">
        <f t="shared" si="14"/>
        <v>1136749.757923441</v>
      </c>
      <c r="Y23" s="36">
        <f t="shared" si="14"/>
        <v>1159484.7530819098</v>
      </c>
      <c r="Z23" s="36">
        <f t="shared" si="14"/>
        <v>1182674.4481435479</v>
      </c>
      <c r="AA23" s="131">
        <f t="shared" si="14"/>
        <v>1206327.9371064189</v>
      </c>
    </row>
    <row r="24" spans="1:27" x14ac:dyDescent="0.3">
      <c r="B24" s="24" t="s">
        <v>22</v>
      </c>
      <c r="C24" s="36">
        <f t="shared" ref="C24:AA24" si="15">IF((C3&lt;=System_Age),0,IF(ValGroup=5,(0.07*1000*System_Size)/25,(0.035*1000*System_Size)/25))</f>
        <v>126000</v>
      </c>
      <c r="D24" s="36">
        <f t="shared" si="15"/>
        <v>126000</v>
      </c>
      <c r="E24" s="36">
        <f t="shared" si="15"/>
        <v>126000</v>
      </c>
      <c r="F24" s="36">
        <f t="shared" si="15"/>
        <v>126000</v>
      </c>
      <c r="G24" s="36">
        <f t="shared" si="15"/>
        <v>126000</v>
      </c>
      <c r="H24" s="36">
        <f t="shared" si="15"/>
        <v>126000</v>
      </c>
      <c r="I24" s="36">
        <f t="shared" si="15"/>
        <v>126000</v>
      </c>
      <c r="J24" s="36">
        <f t="shared" si="15"/>
        <v>126000</v>
      </c>
      <c r="K24" s="36">
        <f t="shared" si="15"/>
        <v>126000</v>
      </c>
      <c r="L24" s="36">
        <f t="shared" si="15"/>
        <v>126000</v>
      </c>
      <c r="M24" s="36">
        <f t="shared" si="15"/>
        <v>126000</v>
      </c>
      <c r="N24" s="36">
        <f t="shared" si="15"/>
        <v>126000</v>
      </c>
      <c r="O24" s="36">
        <f t="shared" si="15"/>
        <v>126000</v>
      </c>
      <c r="P24" s="36">
        <f t="shared" si="15"/>
        <v>126000</v>
      </c>
      <c r="Q24" s="36">
        <f t="shared" si="15"/>
        <v>126000</v>
      </c>
      <c r="R24" s="36">
        <f t="shared" si="15"/>
        <v>126000</v>
      </c>
      <c r="S24" s="36">
        <f t="shared" si="15"/>
        <v>126000</v>
      </c>
      <c r="T24" s="36">
        <f t="shared" si="15"/>
        <v>126000</v>
      </c>
      <c r="U24" s="36">
        <f t="shared" si="15"/>
        <v>126000</v>
      </c>
      <c r="V24" s="36">
        <f t="shared" si="15"/>
        <v>126000</v>
      </c>
      <c r="W24" s="36">
        <f t="shared" si="15"/>
        <v>126000</v>
      </c>
      <c r="X24" s="36">
        <f t="shared" si="15"/>
        <v>126000</v>
      </c>
      <c r="Y24" s="36">
        <f t="shared" si="15"/>
        <v>126000</v>
      </c>
      <c r="Z24" s="36">
        <f t="shared" si="15"/>
        <v>126000</v>
      </c>
      <c r="AA24" s="131">
        <f t="shared" si="15"/>
        <v>126000</v>
      </c>
    </row>
    <row r="25" spans="1:27" x14ac:dyDescent="0.3">
      <c r="B25" s="24" t="s">
        <v>50</v>
      </c>
      <c r="C25" s="36">
        <f t="shared" ref="C25:AA25" si="16">IF(ValGroup&lt;5,IF((C3=Inv_Repl_Cycle),IF(System_Age&lt;Inv_Repl_Cycle,(Inv_Size*1000*Inv_cost),0),0),0)</f>
        <v>0</v>
      </c>
      <c r="D25" s="36">
        <f t="shared" si="16"/>
        <v>0</v>
      </c>
      <c r="E25" s="36">
        <f t="shared" si="16"/>
        <v>0</v>
      </c>
      <c r="F25" s="36">
        <f t="shared" si="16"/>
        <v>0</v>
      </c>
      <c r="G25" s="36">
        <f t="shared" si="16"/>
        <v>0</v>
      </c>
      <c r="H25" s="36">
        <f t="shared" si="16"/>
        <v>0</v>
      </c>
      <c r="I25" s="36">
        <f t="shared" si="16"/>
        <v>0</v>
      </c>
      <c r="J25" s="36">
        <f t="shared" si="16"/>
        <v>0</v>
      </c>
      <c r="K25" s="36">
        <f t="shared" si="16"/>
        <v>0</v>
      </c>
      <c r="L25" s="36">
        <f t="shared" si="16"/>
        <v>0</v>
      </c>
      <c r="M25" s="36">
        <f t="shared" si="16"/>
        <v>0</v>
      </c>
      <c r="N25" s="36">
        <f t="shared" si="16"/>
        <v>0</v>
      </c>
      <c r="O25" s="36">
        <f t="shared" si="16"/>
        <v>0</v>
      </c>
      <c r="P25" s="36">
        <f t="shared" si="16"/>
        <v>0</v>
      </c>
      <c r="Q25" s="36">
        <f t="shared" si="16"/>
        <v>0</v>
      </c>
      <c r="R25" s="36">
        <f t="shared" si="16"/>
        <v>0</v>
      </c>
      <c r="S25" s="36">
        <f t="shared" si="16"/>
        <v>0</v>
      </c>
      <c r="T25" s="36">
        <f t="shared" si="16"/>
        <v>0</v>
      </c>
      <c r="U25" s="36">
        <f t="shared" si="16"/>
        <v>0</v>
      </c>
      <c r="V25" s="36">
        <f t="shared" si="16"/>
        <v>0</v>
      </c>
      <c r="W25" s="36">
        <f t="shared" si="16"/>
        <v>0</v>
      </c>
      <c r="X25" s="36">
        <f t="shared" si="16"/>
        <v>0</v>
      </c>
      <c r="Y25" s="36">
        <f t="shared" si="16"/>
        <v>0</v>
      </c>
      <c r="Z25" s="36">
        <f t="shared" si="16"/>
        <v>0</v>
      </c>
      <c r="AA25" s="131">
        <f t="shared" si="16"/>
        <v>0</v>
      </c>
    </row>
    <row r="26" spans="1:27" x14ac:dyDescent="0.3">
      <c r="A26" s="33"/>
      <c r="B26" s="39" t="s">
        <v>25</v>
      </c>
      <c r="C26" s="40">
        <f t="shared" ref="C26" si="17">SUM(C22:C25)</f>
        <v>2826141.911762475</v>
      </c>
      <c r="D26" s="40">
        <f t="shared" ref="D26" si="18">SUM(D22:D25)</f>
        <v>2880144.7499977243</v>
      </c>
      <c r="E26" s="40">
        <f t="shared" ref="E26:AA26" si="19">SUM(E22:E25)</f>
        <v>2935227.6449976787</v>
      </c>
      <c r="F26" s="40">
        <f t="shared" si="19"/>
        <v>2991412.1978976321</v>
      </c>
      <c r="G26" s="40">
        <f t="shared" si="19"/>
        <v>3048720.4418555852</v>
      </c>
      <c r="H26" s="40">
        <f t="shared" si="19"/>
        <v>3107174.8506926969</v>
      </c>
      <c r="I26" s="40">
        <f t="shared" si="19"/>
        <v>3166798.3477065507</v>
      </c>
      <c r="J26" s="40">
        <f t="shared" si="19"/>
        <v>3227614.3146606809</v>
      </c>
      <c r="K26" s="40">
        <f t="shared" si="19"/>
        <v>3289646.6009538951</v>
      </c>
      <c r="L26" s="40">
        <f t="shared" si="19"/>
        <v>3352919.5329729733</v>
      </c>
      <c r="M26" s="40">
        <f t="shared" si="19"/>
        <v>3417457.9236324327</v>
      </c>
      <c r="N26" s="40">
        <f t="shared" si="19"/>
        <v>3483287.0821050806</v>
      </c>
      <c r="O26" s="40">
        <f t="shared" si="19"/>
        <v>3550432.8237471827</v>
      </c>
      <c r="P26" s="40">
        <f t="shared" si="19"/>
        <v>3618921.4802221265</v>
      </c>
      <c r="Q26" s="40">
        <f t="shared" si="19"/>
        <v>3688779.9098265688</v>
      </c>
      <c r="R26" s="40">
        <f t="shared" si="19"/>
        <v>3760035.5080231</v>
      </c>
      <c r="S26" s="40">
        <f t="shared" si="19"/>
        <v>3832716.2181835622</v>
      </c>
      <c r="T26" s="40">
        <f t="shared" si="19"/>
        <v>3906850.5425472334</v>
      </c>
      <c r="U26" s="40">
        <f t="shared" si="19"/>
        <v>3982467.553398178</v>
      </c>
      <c r="V26" s="40">
        <f t="shared" si="19"/>
        <v>4059596.9044661415</v>
      </c>
      <c r="W26" s="40">
        <f t="shared" si="19"/>
        <v>4138268.8425554642</v>
      </c>
      <c r="X26" s="40">
        <f t="shared" si="19"/>
        <v>4218514.2194065731</v>
      </c>
      <c r="Y26" s="40">
        <f t="shared" si="19"/>
        <v>4300364.5037947055</v>
      </c>
      <c r="Z26" s="40">
        <f t="shared" si="19"/>
        <v>4383851.7938705981</v>
      </c>
      <c r="AA26" s="133">
        <f t="shared" si="19"/>
        <v>4469008.8297480103</v>
      </c>
    </row>
    <row r="27" spans="1:27" x14ac:dyDescent="0.3"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131"/>
    </row>
    <row r="28" spans="1:27" s="33" customFormat="1" x14ac:dyDescent="0.3">
      <c r="B28" s="34" t="s">
        <v>55</v>
      </c>
      <c r="C28" s="35">
        <f t="shared" ref="C28" si="20">(C20-C26)</f>
        <v>1433815.5593102369</v>
      </c>
      <c r="D28" s="35">
        <f t="shared" ref="D28" si="21">(D20-D26)</f>
        <v>1466065.8911004742</v>
      </c>
      <c r="E28" s="35">
        <f t="shared" ref="E28:AA28" si="22">(E20-E26)</f>
        <v>1592552.1869828515</v>
      </c>
      <c r="F28" s="35">
        <f t="shared" si="22"/>
        <v>1495982.1866048691</v>
      </c>
      <c r="G28" s="35">
        <f t="shared" si="22"/>
        <v>1458889.731734856</v>
      </c>
      <c r="H28" s="35">
        <f t="shared" si="22"/>
        <v>1559236.7396657979</v>
      </c>
      <c r="I28" s="35">
        <f t="shared" si="22"/>
        <v>1654112.4404956037</v>
      </c>
      <c r="J28" s="35">
        <f t="shared" si="22"/>
        <v>1591975.7186467382</v>
      </c>
      <c r="K28" s="35">
        <f t="shared" si="22"/>
        <v>1546962.52495998</v>
      </c>
      <c r="L28" s="35">
        <f t="shared" si="22"/>
        <v>1421939.8914510165</v>
      </c>
      <c r="M28" s="35">
        <f t="shared" si="22"/>
        <v>1401037.3162400313</v>
      </c>
      <c r="N28" s="35">
        <f t="shared" si="22"/>
        <v>1281634.0076333247</v>
      </c>
      <c r="O28" s="35">
        <f t="shared" si="22"/>
        <v>1286380.9755182578</v>
      </c>
      <c r="P28" s="35">
        <f t="shared" si="22"/>
        <v>1219866.0261462554</v>
      </c>
      <c r="Q28" s="35">
        <f t="shared" si="22"/>
        <v>1585516.6101448764</v>
      </c>
      <c r="R28" s="35">
        <f t="shared" si="22"/>
        <v>1541326.4650990823</v>
      </c>
      <c r="S28" s="35">
        <f t="shared" si="22"/>
        <v>1636739.4951458722</v>
      </c>
      <c r="T28" s="35">
        <f t="shared" si="22"/>
        <v>1724834.0582508622</v>
      </c>
      <c r="U28" s="35">
        <f t="shared" si="22"/>
        <v>1791906.7393579418</v>
      </c>
      <c r="V28" s="35">
        <f t="shared" si="22"/>
        <v>1840966.6593095395</v>
      </c>
      <c r="W28" s="35">
        <f t="shared" si="22"/>
        <v>2045935.4682561131</v>
      </c>
      <c r="X28" s="35">
        <f t="shared" si="22"/>
        <v>2012183.8229365982</v>
      </c>
      <c r="Y28" s="35">
        <f t="shared" si="22"/>
        <v>2110904.2424884979</v>
      </c>
      <c r="Z28" s="35">
        <f t="shared" si="22"/>
        <v>2059678.8138175057</v>
      </c>
      <c r="AA28" s="130">
        <f t="shared" si="22"/>
        <v>2158438.352028911</v>
      </c>
    </row>
    <row r="29" spans="1:27" s="33" customFormat="1" x14ac:dyDescent="0.3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134"/>
    </row>
    <row r="30" spans="1:27" x14ac:dyDescent="0.3">
      <c r="B30" s="24" t="s">
        <v>56</v>
      </c>
      <c r="C30" s="43">
        <f t="shared" ref="C30:AA30" si="23">IF((C3&lt;=System_Age),1,1/((1+BT_Disc_rt)^(C3-System_Age)))</f>
        <v>0.91008372770294865</v>
      </c>
      <c r="D30" s="43">
        <f t="shared" si="23"/>
        <v>0.82825239142969487</v>
      </c>
      <c r="E30" s="43">
        <f t="shared" si="23"/>
        <v>0.75377902387121853</v>
      </c>
      <c r="F30" s="43">
        <f t="shared" si="23"/>
        <v>0.68600202390900855</v>
      </c>
      <c r="G30" s="43">
        <f t="shared" si="23"/>
        <v>0.62431927913087781</v>
      </c>
      <c r="H30" s="43">
        <f t="shared" si="23"/>
        <v>0.56818281682824701</v>
      </c>
      <c r="I30" s="43">
        <f t="shared" si="23"/>
        <v>0.51709393595581266</v>
      </c>
      <c r="J30" s="43">
        <f t="shared" si="23"/>
        <v>0.47059877680725587</v>
      </c>
      <c r="K30" s="43">
        <f t="shared" si="23"/>
        <v>0.42828428904919541</v>
      </c>
      <c r="L30" s="43">
        <f t="shared" si="23"/>
        <v>0.38977456229449892</v>
      </c>
      <c r="M30" s="43">
        <f t="shared" si="23"/>
        <v>0.35472748661676273</v>
      </c>
      <c r="N30" s="43">
        <f t="shared" si="23"/>
        <v>0.32283171333888128</v>
      </c>
      <c r="O30" s="43">
        <f t="shared" si="23"/>
        <v>0.29380388909617888</v>
      </c>
      <c r="P30" s="43">
        <f t="shared" si="23"/>
        <v>0.26738613860227417</v>
      </c>
      <c r="Q30" s="43">
        <f t="shared" si="23"/>
        <v>0.24334377375525498</v>
      </c>
      <c r="R30" s="43">
        <f t="shared" si="23"/>
        <v>0.22146320873248546</v>
      </c>
      <c r="S30" s="43">
        <f t="shared" si="23"/>
        <v>0.20155006255231658</v>
      </c>
      <c r="T30" s="43">
        <f t="shared" si="23"/>
        <v>0.18342743224637476</v>
      </c>
      <c r="U30" s="43">
        <f t="shared" si="23"/>
        <v>0.16693432130176081</v>
      </c>
      <c r="V30" s="43">
        <f t="shared" si="23"/>
        <v>0.15192420941186824</v>
      </c>
      <c r="W30" s="43">
        <f t="shared" si="23"/>
        <v>0.13826375082987644</v>
      </c>
      <c r="X30" s="43">
        <f t="shared" si="23"/>
        <v>0.12583158976144562</v>
      </c>
      <c r="Y30" s="43">
        <f t="shared" si="23"/>
        <v>0.11451728227288462</v>
      </c>
      <c r="Z30" s="43">
        <f t="shared" si="23"/>
        <v>0.10422031513731765</v>
      </c>
      <c r="AA30" s="135">
        <f t="shared" si="23"/>
        <v>9.4849212902546096E-2</v>
      </c>
    </row>
    <row r="31" spans="1:27" s="33" customFormat="1" x14ac:dyDescent="0.3">
      <c r="B31" s="34" t="s">
        <v>57</v>
      </c>
      <c r="C31" s="35">
        <f t="shared" ref="C31" si="24">C28*C30</f>
        <v>1304892.2090555488</v>
      </c>
      <c r="D31" s="35">
        <f t="shared" ref="D31" si="25">D28*D30</f>
        <v>1214272.5802974743</v>
      </c>
      <c r="E31" s="35">
        <f t="shared" ref="E31:AA31" si="26">E28*E30</f>
        <v>1200432.432967908</v>
      </c>
      <c r="F31" s="35">
        <f t="shared" si="26"/>
        <v>1026246.8077427642</v>
      </c>
      <c r="G31" s="35">
        <f t="shared" si="26"/>
        <v>910812.98564814508</v>
      </c>
      <c r="H31" s="35">
        <f t="shared" si="26"/>
        <v>885931.52284540515</v>
      </c>
      <c r="I31" s="35">
        <f t="shared" si="26"/>
        <v>855331.51236934669</v>
      </c>
      <c r="J31" s="35">
        <f t="shared" si="26"/>
        <v>749181.82590200717</v>
      </c>
      <c r="K31" s="35">
        <f t="shared" si="26"/>
        <v>662539.74518823321</v>
      </c>
      <c r="L31" s="35">
        <f t="shared" si="26"/>
        <v>554235.99879940727</v>
      </c>
      <c r="M31" s="35">
        <f t="shared" si="26"/>
        <v>496986.44584612089</v>
      </c>
      <c r="N31" s="35">
        <f t="shared" si="26"/>
        <v>413752.10255764308</v>
      </c>
      <c r="O31" s="35">
        <f t="shared" si="26"/>
        <v>377943.73346660065</v>
      </c>
      <c r="P31" s="35">
        <f t="shared" si="26"/>
        <v>326175.26634334808</v>
      </c>
      <c r="Q31" s="35">
        <f t="shared" si="26"/>
        <v>385825.5952642936</v>
      </c>
      <c r="R31" s="35">
        <f t="shared" si="26"/>
        <v>341347.10466514202</v>
      </c>
      <c r="S31" s="35">
        <f t="shared" si="26"/>
        <v>329884.94762849761</v>
      </c>
      <c r="T31" s="35">
        <f t="shared" si="26"/>
        <v>316381.88235604961</v>
      </c>
      <c r="U31" s="35">
        <f t="shared" si="26"/>
        <v>299130.73537076922</v>
      </c>
      <c r="V31" s="35">
        <f t="shared" si="26"/>
        <v>279687.40426920995</v>
      </c>
      <c r="W31" s="35">
        <f t="shared" si="26"/>
        <v>282878.71179696982</v>
      </c>
      <c r="X31" s="35">
        <f t="shared" si="26"/>
        <v>253196.28933237537</v>
      </c>
      <c r="Y31" s="35">
        <f t="shared" si="26"/>
        <v>241735.01698808497</v>
      </c>
      <c r="Z31" s="35">
        <f t="shared" si="26"/>
        <v>214660.37505771706</v>
      </c>
      <c r="AA31" s="130">
        <f t="shared" si="26"/>
        <v>204726.17878861091</v>
      </c>
    </row>
    <row r="32" spans="1:27" x14ac:dyDescent="0.3">
      <c r="B32" s="44"/>
      <c r="F32" s="45"/>
    </row>
    <row r="33" spans="2:6" x14ac:dyDescent="0.3">
      <c r="B33" s="147" t="s">
        <v>79</v>
      </c>
      <c r="C33" s="147"/>
      <c r="D33" s="148">
        <f>SUM(C31:AA31)</f>
        <v>14128189.410547674</v>
      </c>
      <c r="E33" s="148"/>
      <c r="F33" s="100" t="str">
        <f>IF(Ground_Lease_Ann&gt;0, " Value for Improvements Only", "Value for Improvements and Land Necessary for Plant Operations")</f>
        <v xml:space="preserve"> Value for Improvements Only</v>
      </c>
    </row>
    <row r="34" spans="2:6" x14ac:dyDescent="0.3">
      <c r="B34" s="94"/>
      <c r="C34" s="94"/>
      <c r="D34" s="95"/>
      <c r="E34" s="95"/>
      <c r="F34" s="45"/>
    </row>
    <row r="35" spans="2:6" x14ac:dyDescent="0.3">
      <c r="B35" s="149" t="s">
        <v>23</v>
      </c>
      <c r="C35" s="149"/>
      <c r="D35" s="149"/>
      <c r="E35" s="149"/>
      <c r="F35" s="45"/>
    </row>
  </sheetData>
  <sheetProtection algorithmName="SHA-512" hashValue="E61cEedgp8GF+z2EHOFYV60H4seV0+ZU3kDYgscbaYpnP8xfVb7ofPxJag9qBZz3zYkfmAaDiW1VPmef35RfoQ==" saltValue="Tt+sWDKJhJdi4SAE3FJQ3w==" spinCount="100000" sheet="1" objects="1" scenarios="1" selectLockedCells="1"/>
  <mergeCells count="3">
    <mergeCell ref="B33:C33"/>
    <mergeCell ref="D33:E33"/>
    <mergeCell ref="B35:E35"/>
  </mergeCells>
  <conditionalFormatting sqref="B8:AA13">
    <cfRule type="expression" dxfId="1" priority="2">
      <formula>IF(ValGroup&lt;3,FALSE,TRUE)</formula>
    </cfRule>
  </conditionalFormatting>
  <conditionalFormatting sqref="B16:AA18">
    <cfRule type="expression" dxfId="0" priority="1">
      <formula>IF(ValGroup&lt;3,TRUE,FALSE)</formula>
    </cfRule>
  </conditionalFormatting>
  <pageMargins left="0.25" right="0.25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686A-A3B7-4452-BC45-4C7C08C04E0C}">
  <sheetPr codeName="Sheet4"/>
  <dimension ref="A1:Z56"/>
  <sheetViews>
    <sheetView zoomScaleNormal="100" workbookViewId="0">
      <selection activeCell="E13" sqref="E13"/>
    </sheetView>
  </sheetViews>
  <sheetFormatPr defaultRowHeight="14.4" x14ac:dyDescent="0.3"/>
  <cols>
    <col min="1" max="1" width="15.5546875" bestFit="1" customWidth="1"/>
    <col min="2" max="2" width="20.44140625" bestFit="1" customWidth="1"/>
    <col min="3" max="4" width="20.44140625" customWidth="1"/>
    <col min="5" max="5" width="8.88671875" style="110" bestFit="1" customWidth="1"/>
    <col min="6" max="6" width="9.5546875" bestFit="1" customWidth="1"/>
    <col min="7" max="7" width="3.109375" customWidth="1"/>
    <col min="8" max="8" width="28.33203125" bestFit="1" customWidth="1"/>
    <col min="9" max="9" width="13.33203125" bestFit="1" customWidth="1"/>
    <col min="10" max="10" width="3.109375" customWidth="1"/>
    <col min="11" max="11" width="28.5546875" bestFit="1" customWidth="1"/>
    <col min="12" max="12" width="6.5546875" bestFit="1" customWidth="1"/>
    <col min="13" max="13" width="3.109375" customWidth="1"/>
    <col min="14" max="14" width="18" bestFit="1" customWidth="1"/>
    <col min="15" max="15" width="21.88671875" style="102" bestFit="1" customWidth="1"/>
    <col min="16" max="16" width="29.6640625" bestFit="1" customWidth="1"/>
    <col min="17" max="17" width="20.6640625" bestFit="1" customWidth="1"/>
    <col min="18" max="18" width="27.6640625" bestFit="1" customWidth="1"/>
    <col min="19" max="19" width="3.109375" customWidth="1"/>
    <col min="20" max="20" width="16.109375" customWidth="1"/>
    <col min="21" max="21" width="3.109375" customWidth="1"/>
    <col min="22" max="22" width="17.44140625" customWidth="1"/>
    <col min="23" max="23" width="12.109375" customWidth="1"/>
    <col min="24" max="24" width="3.109375" customWidth="1"/>
  </cols>
  <sheetData>
    <row r="1" spans="1:26" x14ac:dyDescent="0.3">
      <c r="A1" s="3" t="s">
        <v>59</v>
      </c>
      <c r="B1" s="1" t="s">
        <v>59</v>
      </c>
      <c r="C1" s="1" t="s">
        <v>15</v>
      </c>
      <c r="D1" s="1" t="s">
        <v>91</v>
      </c>
      <c r="E1" s="107" t="s">
        <v>58</v>
      </c>
      <c r="F1" s="108" t="s">
        <v>30</v>
      </c>
      <c r="H1" s="3" t="s">
        <v>142</v>
      </c>
      <c r="I1" s="105" t="s">
        <v>143</v>
      </c>
      <c r="K1" s="3" t="s">
        <v>142</v>
      </c>
      <c r="L1" s="105" t="s">
        <v>146</v>
      </c>
      <c r="N1" s="11" t="s">
        <v>40</v>
      </c>
      <c r="O1" s="101" t="s">
        <v>139</v>
      </c>
      <c r="P1" s="14" t="s">
        <v>41</v>
      </c>
      <c r="Q1" s="13" t="s">
        <v>48</v>
      </c>
      <c r="R1" s="12" t="s">
        <v>49</v>
      </c>
      <c r="T1" s="10" t="s">
        <v>17</v>
      </c>
      <c r="V1" s="11" t="s">
        <v>74</v>
      </c>
      <c r="W1" s="12" t="s">
        <v>75</v>
      </c>
      <c r="Y1" s="11" t="s">
        <v>128</v>
      </c>
      <c r="Z1" s="12" t="s">
        <v>126</v>
      </c>
    </row>
    <row r="2" spans="1:26" x14ac:dyDescent="0.3">
      <c r="A2" s="3">
        <v>1</v>
      </c>
      <c r="B2" s="1" t="s">
        <v>20</v>
      </c>
      <c r="C2" s="1" t="s">
        <v>8</v>
      </c>
      <c r="D2" s="1" t="str">
        <f>A2&amp;C2</f>
        <v>1A</v>
      </c>
      <c r="E2" s="107">
        <v>0.18755870172944905</v>
      </c>
      <c r="F2" s="109">
        <v>16.536345083999102</v>
      </c>
      <c r="H2" s="3" t="s">
        <v>144</v>
      </c>
      <c r="I2" s="106">
        <v>5</v>
      </c>
      <c r="K2" s="3" t="s">
        <v>144</v>
      </c>
      <c r="L2" s="106">
        <v>100</v>
      </c>
      <c r="N2" s="4" t="s">
        <v>37</v>
      </c>
      <c r="O2" s="102">
        <v>1.0264</v>
      </c>
      <c r="P2" s="15">
        <v>0.05</v>
      </c>
      <c r="Q2" s="90">
        <v>4.8627659574468088E-2</v>
      </c>
      <c r="R2" s="92">
        <v>0.41975308641975306</v>
      </c>
      <c r="T2" s="8" t="s">
        <v>52</v>
      </c>
      <c r="V2" s="4" t="s">
        <v>70</v>
      </c>
      <c r="W2" s="5" t="s">
        <v>8</v>
      </c>
      <c r="Y2" s="4">
        <v>2000</v>
      </c>
      <c r="Z2" s="5">
        <f t="shared" ref="Z2:Z7" si="0">_xlfn.DAYS(DATE(Y2,12,31),DATE(Y2-1,12,31))</f>
        <v>366</v>
      </c>
    </row>
    <row r="3" spans="1:26" x14ac:dyDescent="0.3">
      <c r="A3" s="4">
        <v>1</v>
      </c>
      <c r="B3" t="s">
        <v>20</v>
      </c>
      <c r="C3" t="s">
        <v>9</v>
      </c>
      <c r="D3" t="str">
        <f t="shared" ref="D3:D56" si="1">A3&amp;C3</f>
        <v>1B</v>
      </c>
      <c r="E3" s="110">
        <v>0.17372944800009832</v>
      </c>
      <c r="F3" s="111">
        <v>16.536345083999102</v>
      </c>
      <c r="H3" s="4" t="s">
        <v>145</v>
      </c>
      <c r="I3" s="114">
        <v>1.4550000000000001</v>
      </c>
      <c r="K3" s="4" t="s">
        <v>145</v>
      </c>
      <c r="L3" s="114">
        <v>1</v>
      </c>
      <c r="N3" s="4" t="s">
        <v>129</v>
      </c>
      <c r="O3" s="102">
        <v>1.0626992561105206</v>
      </c>
      <c r="P3" s="15">
        <v>0.85399999999999998</v>
      </c>
      <c r="Q3" s="90">
        <v>0.10575609756097559</v>
      </c>
      <c r="R3" s="92">
        <v>0</v>
      </c>
      <c r="T3" s="8" t="s">
        <v>51</v>
      </c>
      <c r="V3" s="4" t="s">
        <v>71</v>
      </c>
      <c r="W3" s="5" t="s">
        <v>9</v>
      </c>
      <c r="Y3" s="4">
        <v>2001</v>
      </c>
      <c r="Z3" s="5">
        <f t="shared" si="0"/>
        <v>365</v>
      </c>
    </row>
    <row r="4" spans="1:26" x14ac:dyDescent="0.3">
      <c r="A4" s="4">
        <v>1</v>
      </c>
      <c r="B4" t="s">
        <v>20</v>
      </c>
      <c r="C4" t="s">
        <v>7</v>
      </c>
      <c r="D4" t="str">
        <f t="shared" si="1"/>
        <v>1C</v>
      </c>
      <c r="E4" s="110">
        <v>0.18054623122969696</v>
      </c>
      <c r="F4" s="111">
        <v>16.536345083999102</v>
      </c>
      <c r="H4" s="4" t="s">
        <v>148</v>
      </c>
      <c r="I4" s="114">
        <v>0.93</v>
      </c>
      <c r="K4" s="4" t="s">
        <v>148</v>
      </c>
      <c r="L4" s="114">
        <v>0.86</v>
      </c>
      <c r="N4" s="4" t="s">
        <v>130</v>
      </c>
      <c r="O4" s="102">
        <v>1.0626992561105206</v>
      </c>
      <c r="P4" s="15">
        <v>0.85399999999999998</v>
      </c>
      <c r="Q4" s="90">
        <v>0.10575609756097559</v>
      </c>
      <c r="R4" s="92">
        <v>0</v>
      </c>
      <c r="T4" s="9" t="s">
        <v>47</v>
      </c>
      <c r="V4" s="4" t="s">
        <v>72</v>
      </c>
      <c r="W4" s="5" t="s">
        <v>7</v>
      </c>
      <c r="Y4" s="4">
        <v>2002</v>
      </c>
      <c r="Z4" s="5">
        <f t="shared" si="0"/>
        <v>365</v>
      </c>
    </row>
    <row r="5" spans="1:26" x14ac:dyDescent="0.3">
      <c r="A5" s="4">
        <v>1</v>
      </c>
      <c r="B5" t="s">
        <v>20</v>
      </c>
      <c r="C5" t="s">
        <v>10</v>
      </c>
      <c r="D5" t="str">
        <f t="shared" si="1"/>
        <v>1D</v>
      </c>
      <c r="E5" s="110">
        <v>0.18397789337718629</v>
      </c>
      <c r="F5" s="111">
        <v>16.536345083999102</v>
      </c>
      <c r="H5" s="6" t="s">
        <v>147</v>
      </c>
      <c r="I5" s="115">
        <v>0.72950000000000004</v>
      </c>
      <c r="K5" s="6" t="s">
        <v>147</v>
      </c>
      <c r="L5" s="115">
        <v>0.98</v>
      </c>
      <c r="N5" s="4" t="s">
        <v>131</v>
      </c>
      <c r="O5" s="102">
        <v>1.0626992561105206</v>
      </c>
      <c r="P5" s="15">
        <v>0.85399999999999998</v>
      </c>
      <c r="Q5" s="90">
        <v>0.10575609756097559</v>
      </c>
      <c r="R5" s="92">
        <v>0</v>
      </c>
      <c r="V5" s="4" t="s">
        <v>73</v>
      </c>
      <c r="W5" s="5" t="s">
        <v>10</v>
      </c>
      <c r="Y5" s="4">
        <v>2003</v>
      </c>
      <c r="Z5" s="5">
        <f t="shared" si="0"/>
        <v>365</v>
      </c>
    </row>
    <row r="6" spans="1:26" x14ac:dyDescent="0.3">
      <c r="A6" s="4">
        <v>1</v>
      </c>
      <c r="B6" t="s">
        <v>20</v>
      </c>
      <c r="C6" t="s">
        <v>3</v>
      </c>
      <c r="D6" t="str">
        <f t="shared" si="1"/>
        <v>1E</v>
      </c>
      <c r="E6" s="110">
        <v>0.18054623122969696</v>
      </c>
      <c r="F6" s="111">
        <v>16.536345083999102</v>
      </c>
      <c r="N6" s="4" t="s">
        <v>132</v>
      </c>
      <c r="O6" s="102">
        <v>1.0626992561105206</v>
      </c>
      <c r="P6" s="15">
        <v>0.85399999999999998</v>
      </c>
      <c r="Q6" s="90">
        <v>0.10575609756097559</v>
      </c>
      <c r="R6" s="92">
        <v>0</v>
      </c>
      <c r="V6" s="4" t="s">
        <v>64</v>
      </c>
      <c r="W6" s="5" t="s">
        <v>3</v>
      </c>
      <c r="Y6" s="4">
        <v>2004</v>
      </c>
      <c r="Z6" s="5">
        <f t="shared" si="0"/>
        <v>366</v>
      </c>
    </row>
    <row r="7" spans="1:26" x14ac:dyDescent="0.3">
      <c r="A7" s="4">
        <v>1</v>
      </c>
      <c r="B7" t="s">
        <v>20</v>
      </c>
      <c r="C7" t="s">
        <v>6</v>
      </c>
      <c r="D7" t="str">
        <f t="shared" si="1"/>
        <v>1F</v>
      </c>
      <c r="E7" s="110">
        <v>0.1901491865572667</v>
      </c>
      <c r="F7" s="111">
        <v>16.536345083999102</v>
      </c>
      <c r="H7" t="s">
        <v>85</v>
      </c>
      <c r="K7" t="s">
        <v>86</v>
      </c>
      <c r="N7" s="4" t="s">
        <v>36</v>
      </c>
      <c r="O7" s="102">
        <v>1.0840000000000001</v>
      </c>
      <c r="P7" s="15">
        <v>0.21</v>
      </c>
      <c r="Q7" s="90">
        <v>2.2945483870967742E-2</v>
      </c>
      <c r="R7" s="92">
        <v>0.43738656987295826</v>
      </c>
      <c r="V7" s="4" t="s">
        <v>65</v>
      </c>
      <c r="W7" s="5" t="s">
        <v>6</v>
      </c>
      <c r="Y7" s="4">
        <v>2005</v>
      </c>
      <c r="Z7" s="5">
        <f t="shared" si="0"/>
        <v>365</v>
      </c>
    </row>
    <row r="8" spans="1:26" x14ac:dyDescent="0.3">
      <c r="A8" s="4">
        <v>1</v>
      </c>
      <c r="B8" t="s">
        <v>20</v>
      </c>
      <c r="C8" t="s">
        <v>4</v>
      </c>
      <c r="D8" t="str">
        <f t="shared" si="1"/>
        <v>1G</v>
      </c>
      <c r="E8" s="110">
        <v>0.19205931174197782</v>
      </c>
      <c r="F8" s="111">
        <v>16.536345083999102</v>
      </c>
      <c r="N8" s="4" t="s">
        <v>82</v>
      </c>
      <c r="O8" s="102">
        <v>1.0728</v>
      </c>
      <c r="P8" s="15">
        <v>8.8999999999999996E-2</v>
      </c>
      <c r="Q8" s="90">
        <v>2.4211635220125788E-2</v>
      </c>
      <c r="R8" s="92">
        <v>0.20698254364089774</v>
      </c>
      <c r="V8" s="4" t="s">
        <v>66</v>
      </c>
      <c r="W8" s="5" t="s">
        <v>4</v>
      </c>
      <c r="Y8" s="4">
        <v>2006</v>
      </c>
      <c r="Z8" s="5">
        <f t="shared" ref="Z8:Z22" si="2">_xlfn.DAYS(DATE(Y8,12,31),DATE(Y8-1,12,31))</f>
        <v>365</v>
      </c>
    </row>
    <row r="9" spans="1:26" x14ac:dyDescent="0.3">
      <c r="A9" s="4">
        <v>1</v>
      </c>
      <c r="B9" t="s">
        <v>20</v>
      </c>
      <c r="C9" t="s">
        <v>11</v>
      </c>
      <c r="D9" t="str">
        <f t="shared" si="1"/>
        <v>1H</v>
      </c>
      <c r="E9" s="110">
        <v>0.19396943692668578</v>
      </c>
      <c r="F9" s="111">
        <v>16.536345083999102</v>
      </c>
      <c r="N9" s="4" t="s">
        <v>38</v>
      </c>
      <c r="O9" s="102">
        <v>1.0798700000000001</v>
      </c>
      <c r="P9" s="15">
        <v>0.222</v>
      </c>
      <c r="Q9" s="90">
        <v>7.3658208955223875E-2</v>
      </c>
      <c r="R9" s="92">
        <v>0.3963963963963964</v>
      </c>
      <c r="V9" s="4" t="s">
        <v>67</v>
      </c>
      <c r="W9" s="5" t="s">
        <v>11</v>
      </c>
      <c r="Y9" s="4">
        <v>2007</v>
      </c>
      <c r="Z9" s="5">
        <f t="shared" si="2"/>
        <v>365</v>
      </c>
    </row>
    <row r="10" spans="1:26" x14ac:dyDescent="0.3">
      <c r="A10" s="4">
        <v>1</v>
      </c>
      <c r="B10" t="s">
        <v>20</v>
      </c>
      <c r="C10" t="s">
        <v>27</v>
      </c>
      <c r="D10" t="str">
        <f t="shared" si="1"/>
        <v>1I</v>
      </c>
      <c r="E10" s="110">
        <v>0.19396943692668578</v>
      </c>
      <c r="F10" s="111">
        <v>16.536345083999102</v>
      </c>
      <c r="N10" s="4" t="s">
        <v>42</v>
      </c>
      <c r="O10" s="102">
        <v>1.0669</v>
      </c>
      <c r="P10" s="15">
        <v>0.33800000000000002</v>
      </c>
      <c r="Q10" s="90">
        <v>0.05</v>
      </c>
      <c r="R10" s="92"/>
      <c r="V10" s="4" t="s">
        <v>68</v>
      </c>
      <c r="W10" s="5" t="s">
        <v>27</v>
      </c>
      <c r="Y10" s="4">
        <v>2008</v>
      </c>
      <c r="Z10" s="5">
        <f t="shared" si="2"/>
        <v>366</v>
      </c>
    </row>
    <row r="11" spans="1:26" x14ac:dyDescent="0.3">
      <c r="A11" s="4">
        <v>1</v>
      </c>
      <c r="B11" t="s">
        <v>20</v>
      </c>
      <c r="C11" t="s">
        <v>5</v>
      </c>
      <c r="D11" t="str">
        <f t="shared" si="1"/>
        <v>1J</v>
      </c>
      <c r="E11" s="110">
        <v>0.19396943692668578</v>
      </c>
      <c r="F11" s="111">
        <v>16.536345083999102</v>
      </c>
      <c r="N11" s="6" t="s">
        <v>43</v>
      </c>
      <c r="O11" s="103">
        <v>1.0692899914456799</v>
      </c>
      <c r="P11" s="16">
        <v>0.109</v>
      </c>
      <c r="Q11" s="91">
        <v>2.7533466666666669E-2</v>
      </c>
      <c r="R11" s="93">
        <v>0</v>
      </c>
      <c r="V11" s="4" t="s">
        <v>63</v>
      </c>
      <c r="W11" s="5" t="s">
        <v>5</v>
      </c>
      <c r="Y11" s="4">
        <v>2009</v>
      </c>
      <c r="Z11" s="5">
        <f t="shared" si="2"/>
        <v>365</v>
      </c>
    </row>
    <row r="12" spans="1:26" x14ac:dyDescent="0.3">
      <c r="A12" s="6">
        <v>1</v>
      </c>
      <c r="B12" s="2" t="s">
        <v>20</v>
      </c>
      <c r="C12" s="2" t="s">
        <v>28</v>
      </c>
      <c r="D12" s="2" t="str">
        <f t="shared" si="1"/>
        <v>1K</v>
      </c>
      <c r="E12" s="112">
        <v>0.1951</v>
      </c>
      <c r="F12" s="113">
        <v>16.536345083999102</v>
      </c>
      <c r="V12" s="6" t="s">
        <v>69</v>
      </c>
      <c r="W12" s="7" t="s">
        <v>28</v>
      </c>
      <c r="Y12" s="4">
        <v>2010</v>
      </c>
      <c r="Z12" s="5">
        <f t="shared" si="2"/>
        <v>365</v>
      </c>
    </row>
    <row r="13" spans="1:26" x14ac:dyDescent="0.3">
      <c r="A13" s="3">
        <v>2</v>
      </c>
      <c r="B13" s="1" t="s">
        <v>21</v>
      </c>
      <c r="C13" s="1" t="s">
        <v>8</v>
      </c>
      <c r="D13" s="1" t="str">
        <f t="shared" si="1"/>
        <v>2A</v>
      </c>
      <c r="E13" s="107">
        <v>0.2101119930031799</v>
      </c>
      <c r="F13" s="109">
        <v>17.684277061895884</v>
      </c>
      <c r="Y13" s="4">
        <v>2011</v>
      </c>
      <c r="Z13" s="5">
        <f t="shared" si="2"/>
        <v>365</v>
      </c>
    </row>
    <row r="14" spans="1:26" x14ac:dyDescent="0.3">
      <c r="A14" s="4">
        <v>2</v>
      </c>
      <c r="B14" t="s">
        <v>21</v>
      </c>
      <c r="C14" t="s">
        <v>9</v>
      </c>
      <c r="D14" t="str">
        <f t="shared" si="1"/>
        <v>2B</v>
      </c>
      <c r="E14" s="110">
        <v>0.19709678125804689</v>
      </c>
      <c r="F14" s="111">
        <v>17.684277061895884</v>
      </c>
      <c r="Y14" s="4">
        <v>2012</v>
      </c>
      <c r="Z14" s="5">
        <f t="shared" si="2"/>
        <v>366</v>
      </c>
    </row>
    <row r="15" spans="1:26" x14ac:dyDescent="0.3">
      <c r="A15" s="4">
        <v>2</v>
      </c>
      <c r="B15" t="s">
        <v>21</v>
      </c>
      <c r="C15" t="s">
        <v>7</v>
      </c>
      <c r="D15" t="str">
        <f t="shared" si="1"/>
        <v>2C</v>
      </c>
      <c r="E15" s="110">
        <v>0.19950895802011717</v>
      </c>
      <c r="F15" s="111">
        <v>17.684277061895884</v>
      </c>
      <c r="Y15" s="4">
        <v>2013</v>
      </c>
      <c r="Z15" s="5">
        <f t="shared" si="2"/>
        <v>365</v>
      </c>
    </row>
    <row r="16" spans="1:26" x14ac:dyDescent="0.3">
      <c r="A16" s="4">
        <v>2</v>
      </c>
      <c r="B16" t="s">
        <v>21</v>
      </c>
      <c r="C16" t="s">
        <v>10</v>
      </c>
      <c r="D16" t="str">
        <f t="shared" si="1"/>
        <v>2D</v>
      </c>
      <c r="E16" s="110">
        <v>0.20454602634230751</v>
      </c>
      <c r="F16" s="111">
        <v>17.684277061895884</v>
      </c>
      <c r="Y16" s="4">
        <v>2014</v>
      </c>
      <c r="Z16" s="5">
        <f t="shared" si="2"/>
        <v>365</v>
      </c>
    </row>
    <row r="17" spans="1:26" x14ac:dyDescent="0.3">
      <c r="A17" s="4">
        <v>2</v>
      </c>
      <c r="B17" t="s">
        <v>21</v>
      </c>
      <c r="C17" t="s">
        <v>3</v>
      </c>
      <c r="D17" t="str">
        <f t="shared" si="1"/>
        <v>2E</v>
      </c>
      <c r="E17" s="110">
        <v>0.19950895802011717</v>
      </c>
      <c r="F17" s="111">
        <v>17.684277061895884</v>
      </c>
      <c r="Y17" s="4">
        <v>2015</v>
      </c>
      <c r="Z17" s="5">
        <f t="shared" si="2"/>
        <v>365</v>
      </c>
    </row>
    <row r="18" spans="1:26" x14ac:dyDescent="0.3">
      <c r="A18" s="4">
        <v>2</v>
      </c>
      <c r="B18" t="s">
        <v>21</v>
      </c>
      <c r="C18" t="s">
        <v>6</v>
      </c>
      <c r="D18" t="str">
        <f t="shared" si="1"/>
        <v>2F</v>
      </c>
      <c r="E18" s="110">
        <v>0.2095294751629822</v>
      </c>
      <c r="F18" s="111">
        <v>17.684277061895884</v>
      </c>
      <c r="Y18" s="4">
        <v>2016</v>
      </c>
      <c r="Z18" s="5">
        <f t="shared" si="2"/>
        <v>366</v>
      </c>
    </row>
    <row r="19" spans="1:26" x14ac:dyDescent="0.3">
      <c r="A19" s="4">
        <v>2</v>
      </c>
      <c r="B19" t="s">
        <v>21</v>
      </c>
      <c r="C19" t="s">
        <v>4</v>
      </c>
      <c r="D19" t="str">
        <f t="shared" si="1"/>
        <v>2G</v>
      </c>
      <c r="E19" s="110">
        <v>0.21288215577776376</v>
      </c>
      <c r="F19" s="111">
        <v>17.684277061895884</v>
      </c>
      <c r="Y19" s="4">
        <v>2017</v>
      </c>
      <c r="Z19" s="5">
        <f t="shared" si="2"/>
        <v>365</v>
      </c>
    </row>
    <row r="20" spans="1:26" x14ac:dyDescent="0.3">
      <c r="A20" s="4">
        <v>2</v>
      </c>
      <c r="B20" t="s">
        <v>21</v>
      </c>
      <c r="C20" t="s">
        <v>11</v>
      </c>
      <c r="D20" t="str">
        <f t="shared" si="1"/>
        <v>2H</v>
      </c>
      <c r="E20" s="110">
        <v>0.21623483639255101</v>
      </c>
      <c r="F20" s="111">
        <v>17.684277061895884</v>
      </c>
      <c r="Y20" s="4">
        <v>2018</v>
      </c>
      <c r="Z20" s="5">
        <f t="shared" si="2"/>
        <v>365</v>
      </c>
    </row>
    <row r="21" spans="1:26" x14ac:dyDescent="0.3">
      <c r="A21" s="4">
        <v>2</v>
      </c>
      <c r="B21" t="s">
        <v>21</v>
      </c>
      <c r="C21" t="s">
        <v>27</v>
      </c>
      <c r="D21" t="str">
        <f t="shared" si="1"/>
        <v>2I</v>
      </c>
      <c r="E21" s="110">
        <v>0.21623483639255101</v>
      </c>
      <c r="F21" s="111">
        <v>17.684277061895884</v>
      </c>
      <c r="Y21" s="4">
        <v>2019</v>
      </c>
      <c r="Z21" s="5">
        <f t="shared" si="2"/>
        <v>365</v>
      </c>
    </row>
    <row r="22" spans="1:26" x14ac:dyDescent="0.3">
      <c r="A22" s="4">
        <v>2</v>
      </c>
      <c r="B22" t="s">
        <v>21</v>
      </c>
      <c r="C22" t="s">
        <v>5</v>
      </c>
      <c r="D22" t="str">
        <f t="shared" si="1"/>
        <v>2J</v>
      </c>
      <c r="E22" s="110">
        <v>0.21623483639255101</v>
      </c>
      <c r="F22" s="111">
        <v>17.684277061895884</v>
      </c>
      <c r="Y22" s="4">
        <v>2020</v>
      </c>
      <c r="Z22" s="5">
        <f t="shared" si="2"/>
        <v>366</v>
      </c>
    </row>
    <row r="23" spans="1:26" x14ac:dyDescent="0.3">
      <c r="A23" s="6">
        <v>2</v>
      </c>
      <c r="B23" s="2" t="s">
        <v>21</v>
      </c>
      <c r="C23" s="2" t="s">
        <v>28</v>
      </c>
      <c r="D23" s="2" t="str">
        <f t="shared" si="1"/>
        <v>2K</v>
      </c>
      <c r="E23" s="112">
        <v>0.22076997945205282</v>
      </c>
      <c r="F23" s="113">
        <v>17.684277061895884</v>
      </c>
      <c r="Y23" s="4">
        <v>2021</v>
      </c>
      <c r="Z23" s="5">
        <f t="shared" ref="Z23:Z52" si="3">_xlfn.DAYS(DATE(Y23,12,31),DATE(Y23-1,12,31))</f>
        <v>365</v>
      </c>
    </row>
    <row r="24" spans="1:26" x14ac:dyDescent="0.3">
      <c r="A24" s="3">
        <v>3</v>
      </c>
      <c r="B24" s="1" t="s">
        <v>33</v>
      </c>
      <c r="C24" s="1" t="s">
        <v>8</v>
      </c>
      <c r="D24" s="1" t="str">
        <f t="shared" si="1"/>
        <v>3A</v>
      </c>
      <c r="E24" s="107">
        <v>0.18850076198630611</v>
      </c>
      <c r="F24" s="109">
        <v>16.536345083999102</v>
      </c>
      <c r="Y24" s="4">
        <v>2022</v>
      </c>
      <c r="Z24" s="5">
        <f t="shared" si="3"/>
        <v>365</v>
      </c>
    </row>
    <row r="25" spans="1:26" x14ac:dyDescent="0.3">
      <c r="A25" s="4">
        <v>3</v>
      </c>
      <c r="B25" t="s">
        <v>33</v>
      </c>
      <c r="C25" t="s">
        <v>9</v>
      </c>
      <c r="D25" t="str">
        <f t="shared" si="1"/>
        <v>3B</v>
      </c>
      <c r="E25" s="110">
        <v>0.18850076198630611</v>
      </c>
      <c r="F25" s="111">
        <v>16.536345083999102</v>
      </c>
      <c r="Y25" s="4">
        <v>2023</v>
      </c>
      <c r="Z25" s="5">
        <f t="shared" si="3"/>
        <v>365</v>
      </c>
    </row>
    <row r="26" spans="1:26" x14ac:dyDescent="0.3">
      <c r="A26" s="4">
        <v>3</v>
      </c>
      <c r="B26" t="s">
        <v>33</v>
      </c>
      <c r="C26" t="s">
        <v>7</v>
      </c>
      <c r="D26" t="str">
        <f t="shared" si="1"/>
        <v>3C</v>
      </c>
      <c r="E26" s="110">
        <v>0.18850076198630611</v>
      </c>
      <c r="F26" s="111">
        <v>16.536345083999102</v>
      </c>
      <c r="Y26" s="4">
        <v>2024</v>
      </c>
      <c r="Z26" s="5">
        <f t="shared" si="3"/>
        <v>366</v>
      </c>
    </row>
    <row r="27" spans="1:26" x14ac:dyDescent="0.3">
      <c r="A27" s="4">
        <v>3</v>
      </c>
      <c r="B27" t="s">
        <v>33</v>
      </c>
      <c r="C27" t="s">
        <v>10</v>
      </c>
      <c r="D27" t="str">
        <f t="shared" si="1"/>
        <v>3D</v>
      </c>
      <c r="E27" s="110">
        <v>0.19514460331050359</v>
      </c>
      <c r="F27" s="111">
        <v>16.536345083999102</v>
      </c>
      <c r="Y27" s="4">
        <v>2025</v>
      </c>
      <c r="Z27" s="5">
        <f t="shared" si="3"/>
        <v>365</v>
      </c>
    </row>
    <row r="28" spans="1:26" x14ac:dyDescent="0.3">
      <c r="A28" s="4">
        <v>3</v>
      </c>
      <c r="B28" t="s">
        <v>33</v>
      </c>
      <c r="C28" t="s">
        <v>3</v>
      </c>
      <c r="D28" t="str">
        <f t="shared" si="1"/>
        <v>3E</v>
      </c>
      <c r="E28" s="110">
        <v>0.19514460331050359</v>
      </c>
      <c r="F28" s="111">
        <v>16.536345083999102</v>
      </c>
      <c r="Y28" s="4">
        <v>2026</v>
      </c>
      <c r="Z28" s="5">
        <f t="shared" si="3"/>
        <v>365</v>
      </c>
    </row>
    <row r="29" spans="1:26" x14ac:dyDescent="0.3">
      <c r="A29" s="4">
        <v>3</v>
      </c>
      <c r="B29" t="s">
        <v>33</v>
      </c>
      <c r="C29" t="s">
        <v>6</v>
      </c>
      <c r="D29" t="str">
        <f t="shared" si="1"/>
        <v>3F</v>
      </c>
      <c r="E29" s="110">
        <v>0.19514460331050359</v>
      </c>
      <c r="F29" s="111">
        <v>16.536345083999102</v>
      </c>
      <c r="Y29" s="4">
        <v>2027</v>
      </c>
      <c r="Z29" s="5">
        <f t="shared" si="3"/>
        <v>365</v>
      </c>
    </row>
    <row r="30" spans="1:26" x14ac:dyDescent="0.3">
      <c r="A30" s="4">
        <v>3</v>
      </c>
      <c r="B30" t="s">
        <v>33</v>
      </c>
      <c r="C30" t="s">
        <v>4</v>
      </c>
      <c r="D30" t="str">
        <f t="shared" si="1"/>
        <v>3G</v>
      </c>
      <c r="E30" s="110">
        <v>0.19514460331050359</v>
      </c>
      <c r="F30" s="111">
        <v>16.536345083999102</v>
      </c>
      <c r="Y30" s="4">
        <v>2028</v>
      </c>
      <c r="Z30" s="5">
        <f t="shared" si="3"/>
        <v>366</v>
      </c>
    </row>
    <row r="31" spans="1:26" x14ac:dyDescent="0.3">
      <c r="A31" s="4">
        <v>3</v>
      </c>
      <c r="B31" t="s">
        <v>33</v>
      </c>
      <c r="C31" t="s">
        <v>11</v>
      </c>
      <c r="D31" t="str">
        <f t="shared" si="1"/>
        <v>3H</v>
      </c>
      <c r="E31" s="110">
        <v>0.19514460331050359</v>
      </c>
      <c r="F31" s="111">
        <v>16.536345083999102</v>
      </c>
      <c r="Y31" s="4">
        <v>2029</v>
      </c>
      <c r="Z31" s="5">
        <f t="shared" si="3"/>
        <v>365</v>
      </c>
    </row>
    <row r="32" spans="1:26" x14ac:dyDescent="0.3">
      <c r="A32" s="4">
        <v>3</v>
      </c>
      <c r="B32" t="s">
        <v>33</v>
      </c>
      <c r="C32" t="s">
        <v>27</v>
      </c>
      <c r="D32" t="str">
        <f t="shared" si="1"/>
        <v>3I</v>
      </c>
      <c r="E32" s="110">
        <v>0.19514460331050359</v>
      </c>
      <c r="F32" s="111">
        <v>16.536345083999102</v>
      </c>
      <c r="Y32" s="4">
        <v>2030</v>
      </c>
      <c r="Z32" s="5">
        <f t="shared" si="3"/>
        <v>365</v>
      </c>
    </row>
    <row r="33" spans="1:26" x14ac:dyDescent="0.3">
      <c r="A33" s="4">
        <v>3</v>
      </c>
      <c r="B33" t="s">
        <v>33</v>
      </c>
      <c r="C33" t="s">
        <v>5</v>
      </c>
      <c r="D33" t="str">
        <f t="shared" si="1"/>
        <v>3J</v>
      </c>
      <c r="E33" s="110">
        <v>0.19514460331050359</v>
      </c>
      <c r="F33" s="111">
        <v>16.536345083999102</v>
      </c>
      <c r="Y33" s="4">
        <v>2031</v>
      </c>
      <c r="Z33" s="5">
        <f t="shared" si="3"/>
        <v>365</v>
      </c>
    </row>
    <row r="34" spans="1:26" x14ac:dyDescent="0.3">
      <c r="A34" s="6">
        <v>3</v>
      </c>
      <c r="B34" s="2" t="s">
        <v>33</v>
      </c>
      <c r="C34" s="2" t="s">
        <v>28</v>
      </c>
      <c r="D34" s="2" t="str">
        <f t="shared" si="1"/>
        <v>3K</v>
      </c>
      <c r="E34" s="112">
        <v>0.19514460331050359</v>
      </c>
      <c r="F34" s="113">
        <v>16.536345083999102</v>
      </c>
      <c r="Y34" s="4">
        <v>2032</v>
      </c>
      <c r="Z34" s="5">
        <f t="shared" si="3"/>
        <v>366</v>
      </c>
    </row>
    <row r="35" spans="1:26" x14ac:dyDescent="0.3">
      <c r="A35" s="3">
        <v>4</v>
      </c>
      <c r="B35" s="1" t="s">
        <v>34</v>
      </c>
      <c r="C35" s="1" t="s">
        <v>8</v>
      </c>
      <c r="D35" s="1" t="str">
        <f t="shared" si="1"/>
        <v>4A</v>
      </c>
      <c r="E35" s="107">
        <v>0.23617439823874967</v>
      </c>
      <c r="F35" s="109">
        <v>17.684277061895884</v>
      </c>
      <c r="Y35" s="4">
        <v>2033</v>
      </c>
      <c r="Z35" s="5">
        <f t="shared" si="3"/>
        <v>365</v>
      </c>
    </row>
    <row r="36" spans="1:26" x14ac:dyDescent="0.3">
      <c r="A36" s="4">
        <v>4</v>
      </c>
      <c r="B36" t="s">
        <v>34</v>
      </c>
      <c r="C36" t="s">
        <v>9</v>
      </c>
      <c r="D36" t="str">
        <f t="shared" si="1"/>
        <v>4B</v>
      </c>
      <c r="E36" s="110">
        <v>0.23617439823874967</v>
      </c>
      <c r="F36" s="111">
        <v>17.684277061895884</v>
      </c>
      <c r="Y36" s="4">
        <v>2034</v>
      </c>
      <c r="Z36" s="5">
        <f t="shared" si="3"/>
        <v>365</v>
      </c>
    </row>
    <row r="37" spans="1:26" x14ac:dyDescent="0.3">
      <c r="A37" s="4">
        <v>4</v>
      </c>
      <c r="B37" t="s">
        <v>34</v>
      </c>
      <c r="C37" t="s">
        <v>7</v>
      </c>
      <c r="D37" t="str">
        <f t="shared" si="1"/>
        <v>4C</v>
      </c>
      <c r="E37" s="110">
        <v>0.22456372309197523</v>
      </c>
      <c r="F37" s="111">
        <v>17.684277061895884</v>
      </c>
      <c r="Y37" s="4">
        <v>2035</v>
      </c>
      <c r="Z37" s="5">
        <f t="shared" si="3"/>
        <v>365</v>
      </c>
    </row>
    <row r="38" spans="1:26" x14ac:dyDescent="0.3">
      <c r="A38" s="4">
        <v>4</v>
      </c>
      <c r="B38" t="s">
        <v>34</v>
      </c>
      <c r="C38" t="s">
        <v>10</v>
      </c>
      <c r="D38" t="str">
        <f t="shared" si="1"/>
        <v>4D</v>
      </c>
      <c r="E38" s="110">
        <v>0.22237780658838394</v>
      </c>
      <c r="F38" s="111">
        <v>17.684277061895884</v>
      </c>
      <c r="Y38" s="4">
        <v>2036</v>
      </c>
      <c r="Z38" s="5">
        <f t="shared" si="3"/>
        <v>366</v>
      </c>
    </row>
    <row r="39" spans="1:26" x14ac:dyDescent="0.3">
      <c r="A39" s="4">
        <v>4</v>
      </c>
      <c r="B39" t="s">
        <v>34</v>
      </c>
      <c r="C39" t="s">
        <v>3</v>
      </c>
      <c r="D39" t="str">
        <f t="shared" si="1"/>
        <v>4E</v>
      </c>
      <c r="E39" s="110">
        <v>0.22237780658838394</v>
      </c>
      <c r="F39" s="111">
        <v>17.684277061895884</v>
      </c>
      <c r="Y39" s="4">
        <v>2037</v>
      </c>
      <c r="Z39" s="5">
        <f t="shared" si="3"/>
        <v>365</v>
      </c>
    </row>
    <row r="40" spans="1:26" x14ac:dyDescent="0.3">
      <c r="A40" s="4">
        <v>4</v>
      </c>
      <c r="B40" t="s">
        <v>34</v>
      </c>
      <c r="C40" t="s">
        <v>6</v>
      </c>
      <c r="D40" t="str">
        <f t="shared" si="1"/>
        <v>4F</v>
      </c>
      <c r="E40" s="110">
        <v>0.22076997945205282</v>
      </c>
      <c r="F40" s="111">
        <v>17.684277061895884</v>
      </c>
      <c r="Y40" s="4">
        <v>2038</v>
      </c>
      <c r="Z40" s="5">
        <f t="shared" si="3"/>
        <v>365</v>
      </c>
    </row>
    <row r="41" spans="1:26" x14ac:dyDescent="0.3">
      <c r="A41" s="4">
        <v>4</v>
      </c>
      <c r="B41" t="s">
        <v>34</v>
      </c>
      <c r="C41" t="s">
        <v>4</v>
      </c>
      <c r="D41" t="str">
        <f t="shared" si="1"/>
        <v>4G</v>
      </c>
      <c r="E41" s="110">
        <v>0.22076997945205282</v>
      </c>
      <c r="F41" s="111">
        <v>17.684277061895884</v>
      </c>
      <c r="Y41" s="4">
        <v>2039</v>
      </c>
      <c r="Z41" s="5">
        <f t="shared" si="3"/>
        <v>365</v>
      </c>
    </row>
    <row r="42" spans="1:26" x14ac:dyDescent="0.3">
      <c r="A42" s="4">
        <v>4</v>
      </c>
      <c r="B42" t="s">
        <v>34</v>
      </c>
      <c r="C42" t="s">
        <v>11</v>
      </c>
      <c r="D42" t="str">
        <f t="shared" si="1"/>
        <v>4H</v>
      </c>
      <c r="E42" s="110">
        <v>0.22076997945205282</v>
      </c>
      <c r="F42" s="111">
        <v>17.684277061895884</v>
      </c>
      <c r="Y42" s="4">
        <v>2040</v>
      </c>
      <c r="Z42" s="5">
        <f t="shared" si="3"/>
        <v>366</v>
      </c>
    </row>
    <row r="43" spans="1:26" x14ac:dyDescent="0.3">
      <c r="A43" s="4">
        <v>4</v>
      </c>
      <c r="B43" t="s">
        <v>34</v>
      </c>
      <c r="C43" t="s">
        <v>27</v>
      </c>
      <c r="D43" t="str">
        <f t="shared" si="1"/>
        <v>4I</v>
      </c>
      <c r="E43" s="110">
        <v>0.22076997945205282</v>
      </c>
      <c r="F43" s="111">
        <v>17.684277061895884</v>
      </c>
      <c r="Y43" s="4">
        <v>2041</v>
      </c>
      <c r="Z43" s="5">
        <f t="shared" si="3"/>
        <v>365</v>
      </c>
    </row>
    <row r="44" spans="1:26" x14ac:dyDescent="0.3">
      <c r="A44" s="4">
        <v>4</v>
      </c>
      <c r="B44" t="s">
        <v>34</v>
      </c>
      <c r="C44" t="s">
        <v>5</v>
      </c>
      <c r="D44" t="str">
        <f t="shared" si="1"/>
        <v>4J</v>
      </c>
      <c r="E44" s="110">
        <v>0.22076997945205282</v>
      </c>
      <c r="F44" s="111">
        <v>17.684277061895884</v>
      </c>
      <c r="Y44" s="4">
        <v>2042</v>
      </c>
      <c r="Z44" s="5">
        <f t="shared" si="3"/>
        <v>365</v>
      </c>
    </row>
    <row r="45" spans="1:26" x14ac:dyDescent="0.3">
      <c r="A45" s="6">
        <v>4</v>
      </c>
      <c r="B45" s="2" t="s">
        <v>34</v>
      </c>
      <c r="C45" s="2" t="s">
        <v>28</v>
      </c>
      <c r="D45" s="2" t="str">
        <f t="shared" si="1"/>
        <v>4K</v>
      </c>
      <c r="E45" s="112">
        <v>0.22076997945205282</v>
      </c>
      <c r="F45" s="113">
        <v>17.684277061895884</v>
      </c>
      <c r="Y45" s="4">
        <v>2043</v>
      </c>
      <c r="Z45" s="5">
        <f t="shared" si="3"/>
        <v>365</v>
      </c>
    </row>
    <row r="46" spans="1:26" x14ac:dyDescent="0.3">
      <c r="A46" s="3">
        <v>5</v>
      </c>
      <c r="B46" s="1" t="s">
        <v>35</v>
      </c>
      <c r="C46" s="1" t="s">
        <v>8</v>
      </c>
      <c r="D46" s="1" t="str">
        <f t="shared" si="1"/>
        <v>5A</v>
      </c>
      <c r="E46" s="107">
        <v>0.32251293036529566</v>
      </c>
      <c r="F46" s="109">
        <v>38.752832772420433</v>
      </c>
      <c r="Y46" s="4">
        <v>2044</v>
      </c>
      <c r="Z46" s="5">
        <f t="shared" si="3"/>
        <v>366</v>
      </c>
    </row>
    <row r="47" spans="1:26" x14ac:dyDescent="0.3">
      <c r="A47" s="4">
        <v>5</v>
      </c>
      <c r="B47" t="s">
        <v>35</v>
      </c>
      <c r="C47" t="s">
        <v>9</v>
      </c>
      <c r="D47" t="str">
        <f t="shared" si="1"/>
        <v>5B</v>
      </c>
      <c r="E47" s="110">
        <v>0.32251293036529566</v>
      </c>
      <c r="F47" s="111">
        <v>38.752832772420433</v>
      </c>
      <c r="Y47" s="4">
        <v>2045</v>
      </c>
      <c r="Z47" s="5">
        <f t="shared" si="3"/>
        <v>365</v>
      </c>
    </row>
    <row r="48" spans="1:26" x14ac:dyDescent="0.3">
      <c r="A48" s="4">
        <v>5</v>
      </c>
      <c r="B48" t="s">
        <v>35</v>
      </c>
      <c r="C48" t="s">
        <v>7</v>
      </c>
      <c r="D48" t="str">
        <f t="shared" si="1"/>
        <v>5C</v>
      </c>
      <c r="E48" s="110">
        <v>0.32251293036529566</v>
      </c>
      <c r="F48" s="111">
        <v>38.752832772420433</v>
      </c>
      <c r="Y48" s="4">
        <v>2046</v>
      </c>
      <c r="Z48" s="5">
        <f t="shared" si="3"/>
        <v>365</v>
      </c>
    </row>
    <row r="49" spans="1:26" x14ac:dyDescent="0.3">
      <c r="A49" s="4">
        <v>5</v>
      </c>
      <c r="B49" t="s">
        <v>35</v>
      </c>
      <c r="C49" t="s">
        <v>10</v>
      </c>
      <c r="D49" t="str">
        <f t="shared" si="1"/>
        <v>5D</v>
      </c>
      <c r="E49" s="110">
        <v>0.32251293036529566</v>
      </c>
      <c r="F49" s="111">
        <v>38.752832772420433</v>
      </c>
      <c r="Y49" s="4">
        <v>2047</v>
      </c>
      <c r="Z49" s="5">
        <f t="shared" si="3"/>
        <v>365</v>
      </c>
    </row>
    <row r="50" spans="1:26" x14ac:dyDescent="0.3">
      <c r="A50" s="4">
        <v>5</v>
      </c>
      <c r="B50" t="s">
        <v>35</v>
      </c>
      <c r="C50" t="s">
        <v>3</v>
      </c>
      <c r="D50" t="str">
        <f t="shared" si="1"/>
        <v>5E</v>
      </c>
      <c r="E50" s="110">
        <v>0.32251293036529566</v>
      </c>
      <c r="F50" s="111">
        <v>38.752832772420433</v>
      </c>
      <c r="Y50" s="4">
        <v>2048</v>
      </c>
      <c r="Z50" s="5">
        <f t="shared" si="3"/>
        <v>366</v>
      </c>
    </row>
    <row r="51" spans="1:26" x14ac:dyDescent="0.3">
      <c r="A51" s="4">
        <v>5</v>
      </c>
      <c r="B51" t="s">
        <v>35</v>
      </c>
      <c r="C51" t="s">
        <v>6</v>
      </c>
      <c r="D51" t="str">
        <f t="shared" si="1"/>
        <v>5F</v>
      </c>
      <c r="E51" s="110">
        <v>0.32251293036529566</v>
      </c>
      <c r="F51" s="111">
        <v>38.752832772420433</v>
      </c>
      <c r="Y51" s="4">
        <v>2049</v>
      </c>
      <c r="Z51" s="5">
        <f t="shared" si="3"/>
        <v>365</v>
      </c>
    </row>
    <row r="52" spans="1:26" x14ac:dyDescent="0.3">
      <c r="A52" s="4">
        <v>5</v>
      </c>
      <c r="B52" t="s">
        <v>35</v>
      </c>
      <c r="C52" t="s">
        <v>4</v>
      </c>
      <c r="D52" t="str">
        <f t="shared" si="1"/>
        <v>5G</v>
      </c>
      <c r="E52" s="110">
        <v>0.32251293036529566</v>
      </c>
      <c r="F52" s="111">
        <v>38.752832772420433</v>
      </c>
      <c r="Y52" s="6">
        <v>2050</v>
      </c>
      <c r="Z52" s="7">
        <f t="shared" si="3"/>
        <v>365</v>
      </c>
    </row>
    <row r="53" spans="1:26" x14ac:dyDescent="0.3">
      <c r="A53" s="4">
        <v>5</v>
      </c>
      <c r="B53" t="s">
        <v>35</v>
      </c>
      <c r="C53" t="s">
        <v>11</v>
      </c>
      <c r="D53" t="str">
        <f t="shared" si="1"/>
        <v>5H</v>
      </c>
      <c r="E53" s="110">
        <v>0.32251293036529566</v>
      </c>
      <c r="F53" s="111">
        <v>38.752832772420433</v>
      </c>
    </row>
    <row r="54" spans="1:26" x14ac:dyDescent="0.3">
      <c r="A54" s="4">
        <v>5</v>
      </c>
      <c r="B54" t="s">
        <v>35</v>
      </c>
      <c r="C54" t="s">
        <v>27</v>
      </c>
      <c r="D54" t="str">
        <f t="shared" si="1"/>
        <v>5I</v>
      </c>
      <c r="E54" s="110">
        <v>0.32251293036529566</v>
      </c>
      <c r="F54" s="111">
        <v>38.752832772420433</v>
      </c>
    </row>
    <row r="55" spans="1:26" x14ac:dyDescent="0.3">
      <c r="A55" s="4">
        <v>5</v>
      </c>
      <c r="B55" t="s">
        <v>35</v>
      </c>
      <c r="C55" t="s">
        <v>5</v>
      </c>
      <c r="D55" t="str">
        <f t="shared" si="1"/>
        <v>5J</v>
      </c>
      <c r="E55" s="110">
        <v>0.32251293036529566</v>
      </c>
      <c r="F55" s="111">
        <v>38.752832772420433</v>
      </c>
    </row>
    <row r="56" spans="1:26" x14ac:dyDescent="0.3">
      <c r="A56" s="6">
        <v>5</v>
      </c>
      <c r="B56" s="2" t="s">
        <v>35</v>
      </c>
      <c r="C56" s="2" t="s">
        <v>28</v>
      </c>
      <c r="D56" s="2" t="str">
        <f t="shared" si="1"/>
        <v>5K</v>
      </c>
      <c r="E56" s="112">
        <v>0.32251293036529566</v>
      </c>
      <c r="F56" s="113">
        <v>38.752832772420433</v>
      </c>
    </row>
  </sheetData>
  <sheetProtection algorithmName="SHA-512" hashValue="HcHxyah90mDX3TGmkGKgBnVXlpXmxSzuYD513/HVlyL3PthBi96GTkTdWJue67JxQUi6SJF3IuRPoreDQ5hFDg==" saltValue="9z/uj32Lyr+W0ktJilX4hQ==" spinCount="100000" sheet="1" objects="1" scenarios="1" selectLockedCells="1" selectUnlockedCells="1"/>
  <phoneticPr fontId="14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25FD-593D-4F2C-8A5E-083BEE5C2CE6}">
  <dimension ref="A1:AH120"/>
  <sheetViews>
    <sheetView workbookViewId="0">
      <selection activeCell="Q93" sqref="Q93"/>
    </sheetView>
  </sheetViews>
  <sheetFormatPr defaultColWidth="9.109375" defaultRowHeight="14.4" x14ac:dyDescent="0.3"/>
  <cols>
    <col min="1" max="1" width="9.33203125" style="96" bestFit="1" customWidth="1"/>
    <col min="2" max="2" width="26.88671875" style="96" bestFit="1" customWidth="1"/>
    <col min="3" max="3" width="16.109375" style="96" bestFit="1" customWidth="1"/>
    <col min="4" max="4" width="17.33203125" style="96" customWidth="1"/>
    <col min="5" max="34" width="5.5546875" style="96" bestFit="1" customWidth="1"/>
    <col min="35" max="35" width="6" style="96" bestFit="1" customWidth="1"/>
    <col min="36" max="16384" width="9.109375" style="96"/>
  </cols>
  <sheetData>
    <row r="1" spans="1:34" x14ac:dyDescent="0.3">
      <c r="A1" t="s">
        <v>88</v>
      </c>
      <c r="B1" s="97" t="str">
        <f>C1&amp;"-"&amp;D1</f>
        <v>Type-Zone</v>
      </c>
      <c r="C1" t="s">
        <v>87</v>
      </c>
      <c r="D1" s="96" t="s">
        <v>90</v>
      </c>
      <c r="E1" s="96">
        <v>2021</v>
      </c>
      <c r="F1" s="96">
        <v>2022</v>
      </c>
      <c r="G1" s="96">
        <v>2023</v>
      </c>
      <c r="H1" s="96">
        <v>2024</v>
      </c>
      <c r="I1" s="96">
        <v>2025</v>
      </c>
      <c r="J1" s="96">
        <v>2026</v>
      </c>
      <c r="K1" s="96">
        <v>2027</v>
      </c>
      <c r="L1" s="96">
        <v>2028</v>
      </c>
      <c r="M1" s="96">
        <v>2029</v>
      </c>
      <c r="N1" s="96">
        <v>2030</v>
      </c>
      <c r="O1" s="96">
        <v>2031</v>
      </c>
      <c r="P1" s="96">
        <v>2032</v>
      </c>
      <c r="Q1" s="96">
        <v>2033</v>
      </c>
      <c r="R1" s="96">
        <v>2034</v>
      </c>
      <c r="S1" s="96">
        <v>2035</v>
      </c>
      <c r="T1" s="96">
        <v>2036</v>
      </c>
      <c r="U1" s="96">
        <v>2037</v>
      </c>
      <c r="V1" s="96">
        <v>2038</v>
      </c>
      <c r="W1" s="96">
        <v>2039</v>
      </c>
      <c r="X1" s="96">
        <v>2040</v>
      </c>
      <c r="Y1" s="96">
        <v>2041</v>
      </c>
      <c r="Z1" s="96">
        <v>2042</v>
      </c>
      <c r="AA1" s="96">
        <v>2043</v>
      </c>
      <c r="AB1" s="96">
        <v>2044</v>
      </c>
      <c r="AC1" s="96">
        <v>2045</v>
      </c>
      <c r="AD1" s="96">
        <v>2046</v>
      </c>
      <c r="AE1" s="96">
        <v>2047</v>
      </c>
      <c r="AF1" s="96">
        <v>2048</v>
      </c>
      <c r="AG1" s="96">
        <v>2049</v>
      </c>
      <c r="AH1" s="96">
        <v>2050</v>
      </c>
    </row>
    <row r="2" spans="1:34" x14ac:dyDescent="0.3">
      <c r="A2" s="97" t="s">
        <v>89</v>
      </c>
      <c r="B2" s="97" t="str">
        <f>C2&amp;"-"&amp;D2</f>
        <v>Solar - Fixed Axis-A</v>
      </c>
      <c r="C2" s="97" t="s">
        <v>52</v>
      </c>
      <c r="D2" s="97" t="s">
        <v>8</v>
      </c>
      <c r="E2" s="97">
        <v>30.878768536961879</v>
      </c>
      <c r="F2" s="97">
        <v>32.426591473708271</v>
      </c>
      <c r="G2" s="97">
        <v>31.911219495027154</v>
      </c>
      <c r="H2" s="97">
        <v>31.267860914434969</v>
      </c>
      <c r="I2" s="97">
        <v>30.74352540777441</v>
      </c>
      <c r="J2" s="97">
        <v>31.406744237192161</v>
      </c>
      <c r="K2" s="97">
        <v>30.009901486005379</v>
      </c>
      <c r="L2" s="97">
        <v>29.104980868827649</v>
      </c>
      <c r="M2" s="97">
        <v>29.224911096657877</v>
      </c>
      <c r="N2" s="97">
        <v>29.116177355180252</v>
      </c>
      <c r="O2" s="97">
        <v>27.671976250519208</v>
      </c>
      <c r="P2" s="97">
        <v>26.48162972412463</v>
      </c>
      <c r="Q2" s="97">
        <v>24.356855929327114</v>
      </c>
      <c r="R2" s="97">
        <v>23.446422830142808</v>
      </c>
      <c r="S2" s="97">
        <v>22.34831260129388</v>
      </c>
      <c r="T2" s="97">
        <v>21.855259166886999</v>
      </c>
      <c r="U2" s="97">
        <v>20.719890103607383</v>
      </c>
      <c r="V2" s="97">
        <v>20.775184965277699</v>
      </c>
      <c r="W2" s="97">
        <v>20.024554644012365</v>
      </c>
      <c r="X2" s="97">
        <v>19.661058992992082</v>
      </c>
      <c r="Y2" s="97">
        <v>20.040918720169248</v>
      </c>
      <c r="Z2" s="97">
        <v>20.634198205219736</v>
      </c>
      <c r="AA2" s="97">
        <v>20.282502847018424</v>
      </c>
      <c r="AB2" s="97">
        <v>20.770797607991039</v>
      </c>
      <c r="AC2" s="97">
        <v>20.32849164263504</v>
      </c>
      <c r="AD2" s="97">
        <v>20.28791213592093</v>
      </c>
      <c r="AE2" s="97">
        <v>19.859014860818387</v>
      </c>
      <c r="AF2" s="97">
        <v>19.821659064904352</v>
      </c>
      <c r="AG2" s="97">
        <v>18.935675222098247</v>
      </c>
      <c r="AH2" s="97">
        <v>20.10398893534208</v>
      </c>
    </row>
    <row r="3" spans="1:34" x14ac:dyDescent="0.3">
      <c r="A3" s="97" t="s">
        <v>89</v>
      </c>
      <c r="B3" s="97" t="str">
        <f t="shared" ref="B3:B34" si="0">C3&amp;"-"&amp;D3</f>
        <v>Solar - Fixed Axis-B</v>
      </c>
      <c r="C3" s="97" t="s">
        <v>52</v>
      </c>
      <c r="D3" s="97" t="s">
        <v>9</v>
      </c>
      <c r="E3" s="97">
        <v>30.052075540735324</v>
      </c>
      <c r="F3" s="97">
        <v>30.543818118520296</v>
      </c>
      <c r="G3" s="97">
        <v>29.780169947790995</v>
      </c>
      <c r="H3" s="97">
        <v>30.023625148576158</v>
      </c>
      <c r="I3" s="97">
        <v>31.419024140133907</v>
      </c>
      <c r="J3" s="97">
        <v>32.10638587139389</v>
      </c>
      <c r="K3" s="97">
        <v>30.735253303043113</v>
      </c>
      <c r="L3" s="97">
        <v>29.737145717539882</v>
      </c>
      <c r="M3" s="97">
        <v>29.932211381604095</v>
      </c>
      <c r="N3" s="97">
        <v>29.667062268348577</v>
      </c>
      <c r="O3" s="97">
        <v>28.026897899152964</v>
      </c>
      <c r="P3" s="97">
        <v>26.815226570940151</v>
      </c>
      <c r="Q3" s="97">
        <v>24.685529559678216</v>
      </c>
      <c r="R3" s="97">
        <v>23.798666238222218</v>
      </c>
      <c r="S3" s="97">
        <v>22.42670712318413</v>
      </c>
      <c r="T3" s="97">
        <v>21.931237749905613</v>
      </c>
      <c r="U3" s="97">
        <v>20.437101803831343</v>
      </c>
      <c r="V3" s="97">
        <v>20.400558494208234</v>
      </c>
      <c r="W3" s="97">
        <v>19.212613000637347</v>
      </c>
      <c r="X3" s="97">
        <v>18.522068559711265</v>
      </c>
      <c r="Y3" s="97">
        <v>18.696494427603092</v>
      </c>
      <c r="Z3" s="97">
        <v>18.997203043762877</v>
      </c>
      <c r="AA3" s="97">
        <v>19.057745608230867</v>
      </c>
      <c r="AB3" s="97">
        <v>19.772704015662772</v>
      </c>
      <c r="AC3" s="97">
        <v>19.355062177040018</v>
      </c>
      <c r="AD3" s="97">
        <v>19.632385570912771</v>
      </c>
      <c r="AE3" s="97">
        <v>19.587315087597339</v>
      </c>
      <c r="AF3" s="97">
        <v>19.854806861312355</v>
      </c>
      <c r="AG3" s="97">
        <v>18.756182777003108</v>
      </c>
      <c r="AH3" s="97">
        <v>19.902313573835155</v>
      </c>
    </row>
    <row r="4" spans="1:34" x14ac:dyDescent="0.3">
      <c r="A4" s="97" t="s">
        <v>89</v>
      </c>
      <c r="B4" s="97" t="str">
        <f t="shared" si="0"/>
        <v>Solar - Fixed Axis-C</v>
      </c>
      <c r="C4" s="97" t="s">
        <v>52</v>
      </c>
      <c r="D4" s="97" t="s">
        <v>7</v>
      </c>
      <c r="E4" s="97">
        <v>30.055619020470349</v>
      </c>
      <c r="F4" s="97">
        <v>30.52503435226398</v>
      </c>
      <c r="G4" s="97">
        <v>29.68914683700233</v>
      </c>
      <c r="H4" s="97">
        <v>30.238137920294641</v>
      </c>
      <c r="I4" s="97">
        <v>31.366201442976262</v>
      </c>
      <c r="J4" s="97">
        <v>31.953647130012229</v>
      </c>
      <c r="K4" s="97">
        <v>30.492716421167163</v>
      </c>
      <c r="L4" s="97">
        <v>29.73594022441867</v>
      </c>
      <c r="M4" s="97">
        <v>29.806876404441891</v>
      </c>
      <c r="N4" s="97">
        <v>29.49191181551511</v>
      </c>
      <c r="O4" s="97">
        <v>27.807537638491368</v>
      </c>
      <c r="P4" s="97">
        <v>26.496258074225398</v>
      </c>
      <c r="Q4" s="97">
        <v>24.158753189198833</v>
      </c>
      <c r="R4" s="97">
        <v>23.256177372591296</v>
      </c>
      <c r="S4" s="97">
        <v>21.511970521205566</v>
      </c>
      <c r="T4" s="97">
        <v>20.79030105090996</v>
      </c>
      <c r="U4" s="97">
        <v>19.426257994033097</v>
      </c>
      <c r="V4" s="97">
        <v>19.306484015369161</v>
      </c>
      <c r="W4" s="97">
        <v>18.854849184717036</v>
      </c>
      <c r="X4" s="97">
        <v>17.961273901497758</v>
      </c>
      <c r="Y4" s="97">
        <v>18.067332329815333</v>
      </c>
      <c r="Z4" s="97">
        <v>18.549933850175485</v>
      </c>
      <c r="AA4" s="97">
        <v>18.366254829644149</v>
      </c>
      <c r="AB4" s="97">
        <v>19.155789686384015</v>
      </c>
      <c r="AC4" s="97">
        <v>18.609556746186541</v>
      </c>
      <c r="AD4" s="97">
        <v>19.073016121623272</v>
      </c>
      <c r="AE4" s="97">
        <v>18.867813168335868</v>
      </c>
      <c r="AF4" s="97">
        <v>19.174681401226415</v>
      </c>
      <c r="AG4" s="97">
        <v>18.154301923627372</v>
      </c>
      <c r="AH4" s="97">
        <v>19.45813011191796</v>
      </c>
    </row>
    <row r="5" spans="1:34" x14ac:dyDescent="0.3">
      <c r="A5" s="97" t="s">
        <v>89</v>
      </c>
      <c r="B5" s="97" t="str">
        <f t="shared" si="0"/>
        <v>Solar - Fixed Axis-D</v>
      </c>
      <c r="C5" s="97" t="s">
        <v>52</v>
      </c>
      <c r="D5" s="97" t="s">
        <v>10</v>
      </c>
      <c r="E5" s="97">
        <v>26.317132423819093</v>
      </c>
      <c r="F5" s="97">
        <v>26.602344153481354</v>
      </c>
      <c r="G5" s="97">
        <v>25.992719861401326</v>
      </c>
      <c r="H5" s="97">
        <v>27.040476216494703</v>
      </c>
      <c r="I5" s="97">
        <v>28.999839834151906</v>
      </c>
      <c r="J5" s="97">
        <v>29.587064277274607</v>
      </c>
      <c r="K5" s="97">
        <v>28.101261107721903</v>
      </c>
      <c r="L5" s="97">
        <v>27.226606602344731</v>
      </c>
      <c r="M5" s="97">
        <v>27.362259496451845</v>
      </c>
      <c r="N5" s="97">
        <v>27.128395221066469</v>
      </c>
      <c r="O5" s="97">
        <v>25.595334791285389</v>
      </c>
      <c r="P5" s="97">
        <v>24.266135775642642</v>
      </c>
      <c r="Q5" s="97">
        <v>22.307567773109014</v>
      </c>
      <c r="R5" s="97">
        <v>21.528085811453721</v>
      </c>
      <c r="S5" s="97">
        <v>20.077205468601473</v>
      </c>
      <c r="T5" s="97">
        <v>19.374031181636393</v>
      </c>
      <c r="U5" s="97">
        <v>18.249680745942712</v>
      </c>
      <c r="V5" s="97">
        <v>18.246943419518601</v>
      </c>
      <c r="W5" s="97">
        <v>17.41073727041973</v>
      </c>
      <c r="X5" s="97">
        <v>17.568290938808836</v>
      </c>
      <c r="Y5" s="97">
        <v>17.712414382400318</v>
      </c>
      <c r="Z5" s="97">
        <v>18.179876162330558</v>
      </c>
      <c r="AA5" s="97">
        <v>18.240667595365014</v>
      </c>
      <c r="AB5" s="97">
        <v>18.929414508330286</v>
      </c>
      <c r="AC5" s="97">
        <v>18.46424946506335</v>
      </c>
      <c r="AD5" s="97">
        <v>18.916386364839695</v>
      </c>
      <c r="AE5" s="97">
        <v>18.712396249186867</v>
      </c>
      <c r="AF5" s="97">
        <v>18.909775401765195</v>
      </c>
      <c r="AG5" s="97">
        <v>17.888720742465672</v>
      </c>
      <c r="AH5" s="97">
        <v>19.158154142631695</v>
      </c>
    </row>
    <row r="6" spans="1:34" x14ac:dyDescent="0.3">
      <c r="A6" s="97" t="s">
        <v>89</v>
      </c>
      <c r="B6" s="97" t="str">
        <f t="shared" si="0"/>
        <v>Solar - Fixed Axis-E</v>
      </c>
      <c r="C6" s="97" t="s">
        <v>52</v>
      </c>
      <c r="D6" s="97" t="s">
        <v>3</v>
      </c>
      <c r="E6" s="97">
        <v>30.83178255235531</v>
      </c>
      <c r="F6" s="97">
        <v>30.877390501487831</v>
      </c>
      <c r="G6" s="97">
        <v>30.01141132404879</v>
      </c>
      <c r="H6" s="97">
        <v>30.473302458237402</v>
      </c>
      <c r="I6" s="97">
        <v>31.750079398262059</v>
      </c>
      <c r="J6" s="97">
        <v>32.297418811778577</v>
      </c>
      <c r="K6" s="97">
        <v>30.848910322055065</v>
      </c>
      <c r="L6" s="97">
        <v>29.999278186062121</v>
      </c>
      <c r="M6" s="97">
        <v>30.075609239044798</v>
      </c>
      <c r="N6" s="97">
        <v>29.780854768721593</v>
      </c>
      <c r="O6" s="97">
        <v>28.123047845410515</v>
      </c>
      <c r="P6" s="97">
        <v>26.812342743913288</v>
      </c>
      <c r="Q6" s="97">
        <v>24.583280098468862</v>
      </c>
      <c r="R6" s="97">
        <v>23.723604654215904</v>
      </c>
      <c r="S6" s="97">
        <v>22.02783384782601</v>
      </c>
      <c r="T6" s="97">
        <v>21.220075718619263</v>
      </c>
      <c r="U6" s="97">
        <v>19.919381758439776</v>
      </c>
      <c r="V6" s="97">
        <v>19.789358418193036</v>
      </c>
      <c r="W6" s="97">
        <v>18.782040601397078</v>
      </c>
      <c r="X6" s="97">
        <v>18.93404050305778</v>
      </c>
      <c r="Y6" s="97">
        <v>19.069614955286575</v>
      </c>
      <c r="Z6" s="97">
        <v>19.569027063140044</v>
      </c>
      <c r="AA6" s="97">
        <v>19.45505517480893</v>
      </c>
      <c r="AB6" s="97">
        <v>20.268017813252143</v>
      </c>
      <c r="AC6" s="97">
        <v>19.774329702329965</v>
      </c>
      <c r="AD6" s="97">
        <v>20.250152649212733</v>
      </c>
      <c r="AE6" s="97">
        <v>20.032916555746258</v>
      </c>
      <c r="AF6" s="97">
        <v>20.344657643215562</v>
      </c>
      <c r="AG6" s="97">
        <v>19.314325325051144</v>
      </c>
      <c r="AH6" s="97">
        <v>20.62100490132374</v>
      </c>
    </row>
    <row r="7" spans="1:34" x14ac:dyDescent="0.3">
      <c r="A7" s="97" t="s">
        <v>89</v>
      </c>
      <c r="B7" s="97" t="str">
        <f t="shared" si="0"/>
        <v>Solar - Fixed Axis-F</v>
      </c>
      <c r="C7" s="97" t="s">
        <v>52</v>
      </c>
      <c r="D7" s="97" t="s">
        <v>6</v>
      </c>
      <c r="E7" s="97">
        <v>35.006261985883114</v>
      </c>
      <c r="F7" s="97">
        <v>34.825120220605392</v>
      </c>
      <c r="G7" s="97">
        <v>34.611377832902505</v>
      </c>
      <c r="H7" s="97">
        <v>34.622103610040845</v>
      </c>
      <c r="I7" s="97">
        <v>34.84158722111836</v>
      </c>
      <c r="J7" s="97">
        <v>35.219181263640607</v>
      </c>
      <c r="K7" s="97">
        <v>33.88124003832224</v>
      </c>
      <c r="L7" s="97">
        <v>33.350524489699431</v>
      </c>
      <c r="M7" s="97">
        <v>33.528558214002139</v>
      </c>
      <c r="N7" s="97">
        <v>33.199284597035501</v>
      </c>
      <c r="O7" s="97">
        <v>31.741883817634477</v>
      </c>
      <c r="P7" s="97">
        <v>30.778813919017779</v>
      </c>
      <c r="Q7" s="97">
        <v>28.815258406572486</v>
      </c>
      <c r="R7" s="97">
        <v>28.045919487150091</v>
      </c>
      <c r="S7" s="97">
        <v>26.18953227873574</v>
      </c>
      <c r="T7" s="97">
        <v>25.36437215226761</v>
      </c>
      <c r="U7" s="97">
        <v>24.258341727154509</v>
      </c>
      <c r="V7" s="97">
        <v>24.046691819088874</v>
      </c>
      <c r="W7" s="97">
        <v>23.165182412844089</v>
      </c>
      <c r="X7" s="97">
        <v>23.480994065040999</v>
      </c>
      <c r="Y7" s="97">
        <v>23.780908929910382</v>
      </c>
      <c r="Z7" s="97">
        <v>24.217727688513357</v>
      </c>
      <c r="AA7" s="97">
        <v>24.113290091424389</v>
      </c>
      <c r="AB7" s="97">
        <v>24.9829865766919</v>
      </c>
      <c r="AC7" s="97">
        <v>24.623080274968348</v>
      </c>
      <c r="AD7" s="97">
        <v>25.380340627681495</v>
      </c>
      <c r="AE7" s="97">
        <v>25.327297301845636</v>
      </c>
      <c r="AF7" s="97">
        <v>25.335660224536198</v>
      </c>
      <c r="AG7" s="97">
        <v>24.314557953445881</v>
      </c>
      <c r="AH7" s="97">
        <v>25.323169531458571</v>
      </c>
    </row>
    <row r="8" spans="1:34" x14ac:dyDescent="0.3">
      <c r="A8" s="97" t="s">
        <v>89</v>
      </c>
      <c r="B8" s="97" t="str">
        <f t="shared" si="0"/>
        <v>Solar - Fixed Axis-G</v>
      </c>
      <c r="C8" s="97" t="s">
        <v>52</v>
      </c>
      <c r="D8" s="97" t="s">
        <v>4</v>
      </c>
      <c r="E8" s="97">
        <v>37.037205358588928</v>
      </c>
      <c r="F8" s="97">
        <v>37.570930519976706</v>
      </c>
      <c r="G8" s="97">
        <v>38.018685908100601</v>
      </c>
      <c r="H8" s="97">
        <v>37.520295364306044</v>
      </c>
      <c r="I8" s="97">
        <v>37.386123047086222</v>
      </c>
      <c r="J8" s="97">
        <v>37.829438038015709</v>
      </c>
      <c r="K8" s="97">
        <v>36.41627454685441</v>
      </c>
      <c r="L8" s="97">
        <v>35.915992429330643</v>
      </c>
      <c r="M8" s="97">
        <v>36.174460332322042</v>
      </c>
      <c r="N8" s="97">
        <v>35.729467363864408</v>
      </c>
      <c r="O8" s="97">
        <v>34.3241172664532</v>
      </c>
      <c r="P8" s="97">
        <v>33.580626860702722</v>
      </c>
      <c r="Q8" s="97">
        <v>31.666100425301934</v>
      </c>
      <c r="R8" s="97">
        <v>30.914911505479576</v>
      </c>
      <c r="S8" s="97">
        <v>28.79655409891042</v>
      </c>
      <c r="T8" s="97">
        <v>27.546387299201601</v>
      </c>
      <c r="U8" s="97">
        <v>26.357237595835389</v>
      </c>
      <c r="V8" s="97">
        <v>26.291228692240118</v>
      </c>
      <c r="W8" s="97">
        <v>25.505537243164145</v>
      </c>
      <c r="X8" s="97">
        <v>25.896470318051964</v>
      </c>
      <c r="Y8" s="97">
        <v>26.198773640285307</v>
      </c>
      <c r="Z8" s="97">
        <v>26.753053069261707</v>
      </c>
      <c r="AA8" s="97">
        <v>26.615020135994236</v>
      </c>
      <c r="AB8" s="97">
        <v>27.549364928607226</v>
      </c>
      <c r="AC8" s="97">
        <v>27.154603597906902</v>
      </c>
      <c r="AD8" s="97">
        <v>28.222032068692112</v>
      </c>
      <c r="AE8" s="97">
        <v>28.455971050160144</v>
      </c>
      <c r="AF8" s="97">
        <v>28.448252638697515</v>
      </c>
      <c r="AG8" s="97">
        <v>27.462416166509289</v>
      </c>
      <c r="AH8" s="97">
        <v>28.310944870212218</v>
      </c>
    </row>
    <row r="9" spans="1:34" x14ac:dyDescent="0.3">
      <c r="A9" s="97" t="s">
        <v>89</v>
      </c>
      <c r="B9" s="97" t="str">
        <f t="shared" si="0"/>
        <v>Solar - Fixed Axis-H</v>
      </c>
      <c r="C9" s="97" t="s">
        <v>52</v>
      </c>
      <c r="D9" s="97" t="s">
        <v>11</v>
      </c>
      <c r="E9" s="97">
        <v>37.258079692257319</v>
      </c>
      <c r="F9" s="97">
        <v>37.766664435146886</v>
      </c>
      <c r="G9" s="97">
        <v>38.227931583056566</v>
      </c>
      <c r="H9" s="97">
        <v>37.809454231037641</v>
      </c>
      <c r="I9" s="97">
        <v>37.60274853459758</v>
      </c>
      <c r="J9" s="97">
        <v>38.145275163296525</v>
      </c>
      <c r="K9" s="97">
        <v>36.889251869943145</v>
      </c>
      <c r="L9" s="97">
        <v>36.371585497199654</v>
      </c>
      <c r="M9" s="97">
        <v>36.554680365341468</v>
      </c>
      <c r="N9" s="97">
        <v>36.335624251767577</v>
      </c>
      <c r="O9" s="97">
        <v>34.512581015140626</v>
      </c>
      <c r="P9" s="97">
        <v>33.729155792921134</v>
      </c>
      <c r="Q9" s="97">
        <v>31.720017421039405</v>
      </c>
      <c r="R9" s="97">
        <v>30.955011960710685</v>
      </c>
      <c r="S9" s="97">
        <v>29.140039204587126</v>
      </c>
      <c r="T9" s="97">
        <v>28.24012655590451</v>
      </c>
      <c r="U9" s="97">
        <v>27.045016255946543</v>
      </c>
      <c r="V9" s="97">
        <v>26.791746524343548</v>
      </c>
      <c r="W9" s="97">
        <v>25.865254321380309</v>
      </c>
      <c r="X9" s="97">
        <v>28.120765409724111</v>
      </c>
      <c r="Y9" s="97">
        <v>28.415682059744121</v>
      </c>
      <c r="Z9" s="97">
        <v>29.298589359424223</v>
      </c>
      <c r="AA9" s="97">
        <v>29.423454304843023</v>
      </c>
      <c r="AB9" s="97">
        <v>30.406342580061313</v>
      </c>
      <c r="AC9" s="97">
        <v>30.260944352506797</v>
      </c>
      <c r="AD9" s="97">
        <v>31.411264788401869</v>
      </c>
      <c r="AE9" s="97">
        <v>31.788685705625301</v>
      </c>
      <c r="AF9" s="97">
        <v>31.976783432325625</v>
      </c>
      <c r="AG9" s="97">
        <v>30.973303581815689</v>
      </c>
      <c r="AH9" s="97">
        <v>31.517194420931066</v>
      </c>
    </row>
    <row r="10" spans="1:34" x14ac:dyDescent="0.3">
      <c r="A10" s="97" t="s">
        <v>89</v>
      </c>
      <c r="B10" s="97" t="str">
        <f t="shared" si="0"/>
        <v>Solar - Fixed Axis-I</v>
      </c>
      <c r="C10" s="97" t="s">
        <v>52</v>
      </c>
      <c r="D10" s="97" t="s">
        <v>27</v>
      </c>
      <c r="E10" s="97">
        <v>37.16860062580308</v>
      </c>
      <c r="F10" s="97">
        <v>37.629394237879701</v>
      </c>
      <c r="G10" s="97">
        <v>38.044358884127774</v>
      </c>
      <c r="H10" s="97">
        <v>37.561166167735756</v>
      </c>
      <c r="I10" s="97">
        <v>37.44410723236642</v>
      </c>
      <c r="J10" s="97">
        <v>37.750351583766339</v>
      </c>
      <c r="K10" s="97">
        <v>36.482466761527412</v>
      </c>
      <c r="L10" s="97">
        <v>35.959852911753302</v>
      </c>
      <c r="M10" s="97">
        <v>36.232104243100849</v>
      </c>
      <c r="N10" s="97">
        <v>35.875372754257455</v>
      </c>
      <c r="O10" s="97">
        <v>34.432737490583321</v>
      </c>
      <c r="P10" s="97">
        <v>33.593330385949095</v>
      </c>
      <c r="Q10" s="97">
        <v>31.67150337885316</v>
      </c>
      <c r="R10" s="97">
        <v>30.922801206908364</v>
      </c>
      <c r="S10" s="97">
        <v>29.226474008948397</v>
      </c>
      <c r="T10" s="97">
        <v>28.418782938143394</v>
      </c>
      <c r="U10" s="97">
        <v>27.217061640779992</v>
      </c>
      <c r="V10" s="97">
        <v>26.960687560216957</v>
      </c>
      <c r="W10" s="97">
        <v>26.0588267764101</v>
      </c>
      <c r="X10" s="97">
        <v>27.846417455344653</v>
      </c>
      <c r="Y10" s="97">
        <v>28.106710334109973</v>
      </c>
      <c r="Z10" s="97">
        <v>28.910361371504415</v>
      </c>
      <c r="AA10" s="97">
        <v>28.956877683119167</v>
      </c>
      <c r="AB10" s="97">
        <v>30.049210190436042</v>
      </c>
      <c r="AC10" s="97">
        <v>29.893418166635957</v>
      </c>
      <c r="AD10" s="97">
        <v>31.011998180602021</v>
      </c>
      <c r="AE10" s="97">
        <v>31.359264640812061</v>
      </c>
      <c r="AF10" s="97">
        <v>31.495028152316596</v>
      </c>
      <c r="AG10" s="97">
        <v>30.482065206621463</v>
      </c>
      <c r="AH10" s="97">
        <v>31.15318610139197</v>
      </c>
    </row>
    <row r="11" spans="1:34" x14ac:dyDescent="0.3">
      <c r="A11" s="97" t="s">
        <v>89</v>
      </c>
      <c r="B11" s="97" t="str">
        <f t="shared" si="0"/>
        <v>Solar - Fixed Axis-J</v>
      </c>
      <c r="C11" s="97" t="s">
        <v>52</v>
      </c>
      <c r="D11" s="97" t="s">
        <v>5</v>
      </c>
      <c r="E11" s="97">
        <v>37.636618182528217</v>
      </c>
      <c r="F11" s="97">
        <v>37.995794732747562</v>
      </c>
      <c r="G11" s="97">
        <v>38.35998915813181</v>
      </c>
      <c r="H11" s="97">
        <v>37.908825297452658</v>
      </c>
      <c r="I11" s="97">
        <v>37.583385717371712</v>
      </c>
      <c r="J11" s="97">
        <v>38.107602881462604</v>
      </c>
      <c r="K11" s="97">
        <v>36.544625368658167</v>
      </c>
      <c r="L11" s="97">
        <v>36.116545907569879</v>
      </c>
      <c r="M11" s="97">
        <v>36.305628776497301</v>
      </c>
      <c r="N11" s="97">
        <v>36.155298858624739</v>
      </c>
      <c r="O11" s="97">
        <v>34.693749367437654</v>
      </c>
      <c r="P11" s="97">
        <v>33.964434293751587</v>
      </c>
      <c r="Q11" s="97">
        <v>32.326229509929242</v>
      </c>
      <c r="R11" s="97">
        <v>32.007311899051196</v>
      </c>
      <c r="S11" s="97">
        <v>30.670179938571042</v>
      </c>
      <c r="T11" s="97">
        <v>29.962619541290742</v>
      </c>
      <c r="U11" s="97">
        <v>29.318750547155133</v>
      </c>
      <c r="V11" s="97">
        <v>29.639170440199589</v>
      </c>
      <c r="W11" s="97">
        <v>29.134860213972438</v>
      </c>
      <c r="X11" s="97">
        <v>29.403765547026111</v>
      </c>
      <c r="Y11" s="97">
        <v>29.838610819917943</v>
      </c>
      <c r="Z11" s="97">
        <v>30.915041386334828</v>
      </c>
      <c r="AA11" s="97">
        <v>30.808291818315229</v>
      </c>
      <c r="AB11" s="97">
        <v>32.005452782672251</v>
      </c>
      <c r="AC11" s="97">
        <v>31.727254449848701</v>
      </c>
      <c r="AD11" s="97">
        <v>33.201454836558476</v>
      </c>
      <c r="AE11" s="97">
        <v>33.559502261626179</v>
      </c>
      <c r="AF11" s="97">
        <v>33.676891440599093</v>
      </c>
      <c r="AG11" s="97">
        <v>32.792789581023953</v>
      </c>
      <c r="AH11" s="97">
        <v>33.520034128369552</v>
      </c>
    </row>
    <row r="12" spans="1:34" x14ac:dyDescent="0.3">
      <c r="A12" s="97" t="s">
        <v>89</v>
      </c>
      <c r="B12" s="97" t="str">
        <f t="shared" si="0"/>
        <v>Solar - Fixed Axis-K</v>
      </c>
      <c r="C12" s="97" t="s">
        <v>52</v>
      </c>
      <c r="D12" s="97" t="s">
        <v>28</v>
      </c>
      <c r="E12" s="97">
        <v>40.806564897197354</v>
      </c>
      <c r="F12" s="97">
        <v>41.154395036447426</v>
      </c>
      <c r="G12" s="97">
        <v>41.735900147785628</v>
      </c>
      <c r="H12" s="97">
        <v>41.371335462775676</v>
      </c>
      <c r="I12" s="97">
        <v>40.658596538161447</v>
      </c>
      <c r="J12" s="97">
        <v>40.81819393808285</v>
      </c>
      <c r="K12" s="97">
        <v>39.655007224109326</v>
      </c>
      <c r="L12" s="97">
        <v>40.323088405242821</v>
      </c>
      <c r="M12" s="97">
        <v>38.382279442986587</v>
      </c>
      <c r="N12" s="97">
        <v>37.34604590972635</v>
      </c>
      <c r="O12" s="97">
        <v>35.958396770562864</v>
      </c>
      <c r="P12" s="97">
        <v>35.275392122078834</v>
      </c>
      <c r="Q12" s="97">
        <v>33.156767693152737</v>
      </c>
      <c r="R12" s="97">
        <v>32.689460065901507</v>
      </c>
      <c r="S12" s="97">
        <v>31.319374777351857</v>
      </c>
      <c r="T12" s="97">
        <v>30.451265305476223</v>
      </c>
      <c r="U12" s="97">
        <v>30.299904261773257</v>
      </c>
      <c r="V12" s="97">
        <v>30.205891712625828</v>
      </c>
      <c r="W12" s="97">
        <v>29.855895630624062</v>
      </c>
      <c r="X12" s="97">
        <v>30.826959495796473</v>
      </c>
      <c r="Y12" s="97">
        <v>30.799303850846893</v>
      </c>
      <c r="Z12" s="97">
        <v>31.797327552909554</v>
      </c>
      <c r="AA12" s="97">
        <v>31.662774740723442</v>
      </c>
      <c r="AB12" s="97">
        <v>32.898307763762119</v>
      </c>
      <c r="AC12" s="97">
        <v>32.062488252001209</v>
      </c>
      <c r="AD12" s="97">
        <v>33.750154940460781</v>
      </c>
      <c r="AE12" s="97">
        <v>33.916771279578292</v>
      </c>
      <c r="AF12" s="97">
        <v>34.272776009873205</v>
      </c>
      <c r="AG12" s="97">
        <v>32.77879455744435</v>
      </c>
      <c r="AH12" s="97">
        <v>34.063220649775801</v>
      </c>
    </row>
    <row r="13" spans="1:34" x14ac:dyDescent="0.3">
      <c r="A13" s="97" t="s">
        <v>89</v>
      </c>
      <c r="B13" s="97" t="str">
        <f t="shared" si="0"/>
        <v>Solar - Tracking-A</v>
      </c>
      <c r="C13" s="97" t="s">
        <v>51</v>
      </c>
      <c r="D13" s="97" t="s">
        <v>8</v>
      </c>
      <c r="E13" s="97">
        <v>30.85132910322714</v>
      </c>
      <c r="F13" s="97">
        <v>32.487074956135103</v>
      </c>
      <c r="G13" s="97">
        <v>32.035559107015033</v>
      </c>
      <c r="H13" s="97">
        <v>31.398381405684191</v>
      </c>
      <c r="I13" s="97">
        <v>30.877035658621903</v>
      </c>
      <c r="J13" s="97">
        <v>31.617106738050275</v>
      </c>
      <c r="K13" s="97">
        <v>30.260422280457604</v>
      </c>
      <c r="L13" s="97">
        <v>29.455937098634543</v>
      </c>
      <c r="M13" s="97">
        <v>29.67105861233572</v>
      </c>
      <c r="N13" s="97">
        <v>29.691030971085826</v>
      </c>
      <c r="O13" s="97">
        <v>28.460372492352278</v>
      </c>
      <c r="P13" s="97">
        <v>27.367839501093545</v>
      </c>
      <c r="Q13" s="97">
        <v>25.309852656507502</v>
      </c>
      <c r="R13" s="97">
        <v>24.485040602458518</v>
      </c>
      <c r="S13" s="97">
        <v>23.435053405956548</v>
      </c>
      <c r="T13" s="97">
        <v>22.935979605244526</v>
      </c>
      <c r="U13" s="97">
        <v>21.892424457286278</v>
      </c>
      <c r="V13" s="97">
        <v>21.972719297355045</v>
      </c>
      <c r="W13" s="97">
        <v>21.174879097354065</v>
      </c>
      <c r="X13" s="97">
        <v>20.910864851257028</v>
      </c>
      <c r="Y13" s="97">
        <v>21.339407008145102</v>
      </c>
      <c r="Z13" s="97">
        <v>21.924086581933377</v>
      </c>
      <c r="AA13" s="97">
        <v>21.699615095284202</v>
      </c>
      <c r="AB13" s="97">
        <v>22.234440159915884</v>
      </c>
      <c r="AC13" s="97">
        <v>21.745967961349034</v>
      </c>
      <c r="AD13" s="97">
        <v>21.66789051582219</v>
      </c>
      <c r="AE13" s="97">
        <v>21.28481282292309</v>
      </c>
      <c r="AF13" s="97">
        <v>21.076110119802173</v>
      </c>
      <c r="AG13" s="97">
        <v>20.220108657970776</v>
      </c>
      <c r="AH13" s="97">
        <v>21.367799592846524</v>
      </c>
    </row>
    <row r="14" spans="1:34" x14ac:dyDescent="0.3">
      <c r="A14" s="97" t="s">
        <v>89</v>
      </c>
      <c r="B14" s="97" t="str">
        <f t="shared" si="0"/>
        <v>Solar - Tracking-B</v>
      </c>
      <c r="C14" s="97" t="s">
        <v>51</v>
      </c>
      <c r="D14" s="97" t="s">
        <v>9</v>
      </c>
      <c r="E14" s="97">
        <v>29.888031607473327</v>
      </c>
      <c r="F14" s="97">
        <v>30.462468857230689</v>
      </c>
      <c r="G14" s="97">
        <v>29.805041115294486</v>
      </c>
      <c r="H14" s="97">
        <v>30.067583849208194</v>
      </c>
      <c r="I14" s="97">
        <v>31.557391501931718</v>
      </c>
      <c r="J14" s="97">
        <v>32.309438790923295</v>
      </c>
      <c r="K14" s="97">
        <v>30.950802746038228</v>
      </c>
      <c r="L14" s="97">
        <v>30.079530878686739</v>
      </c>
      <c r="M14" s="97">
        <v>30.340504267886413</v>
      </c>
      <c r="N14" s="97">
        <v>30.203240087093807</v>
      </c>
      <c r="O14" s="97">
        <v>28.75328498078175</v>
      </c>
      <c r="P14" s="97">
        <v>27.658707063725625</v>
      </c>
      <c r="Q14" s="97">
        <v>25.563776937567621</v>
      </c>
      <c r="R14" s="97">
        <v>24.75526463401733</v>
      </c>
      <c r="S14" s="97">
        <v>23.422531920308877</v>
      </c>
      <c r="T14" s="97">
        <v>22.903487221731861</v>
      </c>
      <c r="U14" s="97">
        <v>21.500403763710114</v>
      </c>
      <c r="V14" s="97">
        <v>21.502391779858932</v>
      </c>
      <c r="W14" s="97">
        <v>20.302753140315591</v>
      </c>
      <c r="X14" s="97">
        <v>19.784332448714327</v>
      </c>
      <c r="Y14" s="97">
        <v>19.992942702283102</v>
      </c>
      <c r="Z14" s="97">
        <v>20.312756235042563</v>
      </c>
      <c r="AA14" s="97">
        <v>20.498827345295052</v>
      </c>
      <c r="AB14" s="97">
        <v>21.245236371645241</v>
      </c>
      <c r="AC14" s="97">
        <v>20.77354510885856</v>
      </c>
      <c r="AD14" s="97">
        <v>21.042263280481226</v>
      </c>
      <c r="AE14" s="97">
        <v>21.062634319050556</v>
      </c>
      <c r="AF14" s="97">
        <v>21.131009175614448</v>
      </c>
      <c r="AG14" s="97">
        <v>20.055420418725635</v>
      </c>
      <c r="AH14" s="97">
        <v>21.216964248960878</v>
      </c>
    </row>
    <row r="15" spans="1:34" x14ac:dyDescent="0.3">
      <c r="A15" s="97" t="s">
        <v>89</v>
      </c>
      <c r="B15" s="97" t="str">
        <f t="shared" si="0"/>
        <v>Solar - Tracking-C</v>
      </c>
      <c r="C15" s="97" t="s">
        <v>51</v>
      </c>
      <c r="D15" s="97" t="s">
        <v>7</v>
      </c>
      <c r="E15" s="97">
        <v>29.899454625942784</v>
      </c>
      <c r="F15" s="97">
        <v>30.434176627072468</v>
      </c>
      <c r="G15" s="97">
        <v>29.69300430807451</v>
      </c>
      <c r="H15" s="97">
        <v>30.245958396037782</v>
      </c>
      <c r="I15" s="97">
        <v>31.455641922975804</v>
      </c>
      <c r="J15" s="97">
        <v>32.096907143444739</v>
      </c>
      <c r="K15" s="97">
        <v>30.663692484775705</v>
      </c>
      <c r="L15" s="97">
        <v>29.987247542355242</v>
      </c>
      <c r="M15" s="97">
        <v>30.130829931796971</v>
      </c>
      <c r="N15" s="97">
        <v>29.926541759870538</v>
      </c>
      <c r="O15" s="97">
        <v>28.393192874547321</v>
      </c>
      <c r="P15" s="97">
        <v>27.16182812774948</v>
      </c>
      <c r="Q15" s="97">
        <v>24.89351121956981</v>
      </c>
      <c r="R15" s="97">
        <v>24.048982142859241</v>
      </c>
      <c r="S15" s="97">
        <v>22.35646029178131</v>
      </c>
      <c r="T15" s="97">
        <v>21.626904213161502</v>
      </c>
      <c r="U15" s="97">
        <v>20.343762485569112</v>
      </c>
      <c r="V15" s="97">
        <v>20.22284999062294</v>
      </c>
      <c r="W15" s="97">
        <v>19.688354708838919</v>
      </c>
      <c r="X15" s="97">
        <v>18.927979972824719</v>
      </c>
      <c r="Y15" s="97">
        <v>19.083220174383317</v>
      </c>
      <c r="Z15" s="97">
        <v>19.543171662601047</v>
      </c>
      <c r="AA15" s="97">
        <v>19.478816938312271</v>
      </c>
      <c r="AB15" s="97">
        <v>20.276513952843548</v>
      </c>
      <c r="AC15" s="97">
        <v>19.72108693750787</v>
      </c>
      <c r="AD15" s="97">
        <v>20.156298362593059</v>
      </c>
      <c r="AE15" s="97">
        <v>19.997678622116347</v>
      </c>
      <c r="AF15" s="97">
        <v>20.146111652733303</v>
      </c>
      <c r="AG15" s="97">
        <v>19.149528644801109</v>
      </c>
      <c r="AH15" s="97">
        <v>20.449037112677249</v>
      </c>
    </row>
    <row r="16" spans="1:34" x14ac:dyDescent="0.3">
      <c r="A16" s="97" t="s">
        <v>89</v>
      </c>
      <c r="B16" s="97" t="str">
        <f t="shared" si="0"/>
        <v>Solar - Tracking-D</v>
      </c>
      <c r="C16" s="97" t="s">
        <v>51</v>
      </c>
      <c r="D16" s="97" t="s">
        <v>10</v>
      </c>
      <c r="E16" s="97">
        <v>25.871621232491282</v>
      </c>
      <c r="F16" s="97">
        <v>26.215230728070765</v>
      </c>
      <c r="G16" s="97">
        <v>25.780959757901108</v>
      </c>
      <c r="H16" s="97">
        <v>26.89029804655161</v>
      </c>
      <c r="I16" s="97">
        <v>28.783714702749748</v>
      </c>
      <c r="J16" s="97">
        <v>29.424684283011526</v>
      </c>
      <c r="K16" s="97">
        <v>27.915301999722246</v>
      </c>
      <c r="L16" s="97">
        <v>27.111065018944064</v>
      </c>
      <c r="M16" s="97">
        <v>27.275452289039102</v>
      </c>
      <c r="N16" s="97">
        <v>27.066435632989091</v>
      </c>
      <c r="O16" s="97">
        <v>25.646429748508108</v>
      </c>
      <c r="P16" s="97">
        <v>24.405707015704785</v>
      </c>
      <c r="Q16" s="97">
        <v>22.340200881263257</v>
      </c>
      <c r="R16" s="97">
        <v>21.583616557496153</v>
      </c>
      <c r="S16" s="97">
        <v>20.193630959833186</v>
      </c>
      <c r="T16" s="97">
        <v>19.490942873773406</v>
      </c>
      <c r="U16" s="97">
        <v>18.328401077965854</v>
      </c>
      <c r="V16" s="97">
        <v>18.275232130861813</v>
      </c>
      <c r="W16" s="97">
        <v>17.407976170606496</v>
      </c>
      <c r="X16" s="97">
        <v>17.620857555094659</v>
      </c>
      <c r="Y16" s="97">
        <v>17.788751720062606</v>
      </c>
      <c r="Z16" s="97">
        <v>18.164366083348465</v>
      </c>
      <c r="AA16" s="97">
        <v>18.345560320747545</v>
      </c>
      <c r="AB16" s="97">
        <v>18.976188007980568</v>
      </c>
      <c r="AC16" s="97">
        <v>18.459232828130418</v>
      </c>
      <c r="AD16" s="97">
        <v>18.81433760040985</v>
      </c>
      <c r="AE16" s="97">
        <v>18.657305191027444</v>
      </c>
      <c r="AF16" s="97">
        <v>18.643856222343612</v>
      </c>
      <c r="AG16" s="97">
        <v>17.698346560349986</v>
      </c>
      <c r="AH16" s="97">
        <v>18.810057917443647</v>
      </c>
    </row>
    <row r="17" spans="1:34" x14ac:dyDescent="0.3">
      <c r="A17" s="97" t="s">
        <v>89</v>
      </c>
      <c r="B17" s="97" t="str">
        <f t="shared" si="0"/>
        <v>Solar - Tracking-E</v>
      </c>
      <c r="C17" s="97" t="s">
        <v>51</v>
      </c>
      <c r="D17" s="97" t="s">
        <v>3</v>
      </c>
      <c r="E17" s="97">
        <v>30.364182183420969</v>
      </c>
      <c r="F17" s="97">
        <v>30.447892354759535</v>
      </c>
      <c r="G17" s="97">
        <v>29.785672942387254</v>
      </c>
      <c r="H17" s="97">
        <v>30.26548416815772</v>
      </c>
      <c r="I17" s="97">
        <v>31.498152693831464</v>
      </c>
      <c r="J17" s="97">
        <v>32.111981693465943</v>
      </c>
      <c r="K17" s="97">
        <v>30.629100980507179</v>
      </c>
      <c r="L17" s="97">
        <v>29.86001861688317</v>
      </c>
      <c r="M17" s="97">
        <v>29.95573696600054</v>
      </c>
      <c r="N17" s="97">
        <v>29.689386449275858</v>
      </c>
      <c r="O17" s="97">
        <v>28.157830721602078</v>
      </c>
      <c r="P17" s="97">
        <v>26.944603197960561</v>
      </c>
      <c r="Q17" s="97">
        <v>24.616533664592687</v>
      </c>
      <c r="R17" s="97">
        <v>23.782564519646101</v>
      </c>
      <c r="S17" s="97">
        <v>22.163722766850352</v>
      </c>
      <c r="T17" s="97">
        <v>21.354244128157124</v>
      </c>
      <c r="U17" s="97">
        <v>20.021457492769795</v>
      </c>
      <c r="V17" s="97">
        <v>19.838364375072821</v>
      </c>
      <c r="W17" s="97">
        <v>18.814887607090252</v>
      </c>
      <c r="X17" s="97">
        <v>18.99762382959026</v>
      </c>
      <c r="Y17" s="97">
        <v>19.176658623716964</v>
      </c>
      <c r="Z17" s="97">
        <v>19.574714879660775</v>
      </c>
      <c r="AA17" s="97">
        <v>19.588797355351506</v>
      </c>
      <c r="AB17" s="97">
        <v>20.3317548059313</v>
      </c>
      <c r="AC17" s="97">
        <v>19.782718004682874</v>
      </c>
      <c r="AD17" s="97">
        <v>20.148521416377225</v>
      </c>
      <c r="AE17" s="97">
        <v>20.00019867716782</v>
      </c>
      <c r="AF17" s="97">
        <v>20.080224274641608</v>
      </c>
      <c r="AG17" s="97">
        <v>19.128913819445206</v>
      </c>
      <c r="AH17" s="97">
        <v>20.276935557762712</v>
      </c>
    </row>
    <row r="18" spans="1:34" x14ac:dyDescent="0.3">
      <c r="A18" s="97" t="s">
        <v>89</v>
      </c>
      <c r="B18" s="97" t="str">
        <f t="shared" si="0"/>
        <v>Solar - Tracking-F</v>
      </c>
      <c r="C18" s="97" t="s">
        <v>51</v>
      </c>
      <c r="D18" s="97" t="s">
        <v>6</v>
      </c>
      <c r="E18" s="97">
        <v>34.506368012985554</v>
      </c>
      <c r="F18" s="97">
        <v>34.405837382272438</v>
      </c>
      <c r="G18" s="97">
        <v>34.279380293680987</v>
      </c>
      <c r="H18" s="97">
        <v>34.340858161724114</v>
      </c>
      <c r="I18" s="97">
        <v>34.563933412492069</v>
      </c>
      <c r="J18" s="97">
        <v>35.001197782784295</v>
      </c>
      <c r="K18" s="97">
        <v>33.681847760258783</v>
      </c>
      <c r="L18" s="97">
        <v>33.199420704754345</v>
      </c>
      <c r="M18" s="97">
        <v>33.422678775118662</v>
      </c>
      <c r="N18" s="97">
        <v>33.117030187536393</v>
      </c>
      <c r="O18" s="97">
        <v>31.759739390730303</v>
      </c>
      <c r="P18" s="97">
        <v>30.865677777653428</v>
      </c>
      <c r="Q18" s="97">
        <v>28.857435808141783</v>
      </c>
      <c r="R18" s="97">
        <v>28.119769228677672</v>
      </c>
      <c r="S18" s="97">
        <v>26.347893639254156</v>
      </c>
      <c r="T18" s="97">
        <v>25.525959463747032</v>
      </c>
      <c r="U18" s="97">
        <v>24.403514851174702</v>
      </c>
      <c r="V18" s="97">
        <v>24.18082726773968</v>
      </c>
      <c r="W18" s="97">
        <v>23.308145275440911</v>
      </c>
      <c r="X18" s="97">
        <v>23.654238990255994</v>
      </c>
      <c r="Y18" s="97">
        <v>23.983202591121465</v>
      </c>
      <c r="Z18" s="97">
        <v>24.384482660008857</v>
      </c>
      <c r="AA18" s="97">
        <v>24.375484042418872</v>
      </c>
      <c r="AB18" s="97">
        <v>25.227936738230316</v>
      </c>
      <c r="AC18" s="97">
        <v>24.830848426872837</v>
      </c>
      <c r="AD18" s="97">
        <v>25.549845981027673</v>
      </c>
      <c r="AE18" s="97">
        <v>25.560606719006071</v>
      </c>
      <c r="AF18" s="97">
        <v>25.4114479715121</v>
      </c>
      <c r="AG18" s="97">
        <v>24.412042167103778</v>
      </c>
      <c r="AH18" s="97">
        <v>25.351699251073075</v>
      </c>
    </row>
    <row r="19" spans="1:34" x14ac:dyDescent="0.3">
      <c r="A19" s="97" t="s">
        <v>89</v>
      </c>
      <c r="B19" s="97" t="str">
        <f t="shared" si="0"/>
        <v>Solar - Tracking-G</v>
      </c>
      <c r="C19" s="97" t="s">
        <v>51</v>
      </c>
      <c r="D19" s="97" t="s">
        <v>4</v>
      </c>
      <c r="E19" s="97">
        <v>36.525507178456699</v>
      </c>
      <c r="F19" s="97">
        <v>37.105250091791774</v>
      </c>
      <c r="G19" s="97">
        <v>37.620419585648641</v>
      </c>
      <c r="H19" s="97">
        <v>37.186571335227733</v>
      </c>
      <c r="I19" s="97">
        <v>37.074812169466803</v>
      </c>
      <c r="J19" s="97">
        <v>37.578911675123798</v>
      </c>
      <c r="K19" s="97">
        <v>36.217671157787237</v>
      </c>
      <c r="L19" s="97">
        <v>35.752949437526908</v>
      </c>
      <c r="M19" s="97">
        <v>36.057343638768735</v>
      </c>
      <c r="N19" s="97">
        <v>35.648000343929397</v>
      </c>
      <c r="O19" s="97">
        <v>34.336771259479981</v>
      </c>
      <c r="P19" s="97">
        <v>33.668761198938682</v>
      </c>
      <c r="Q19" s="97">
        <v>31.70256701081161</v>
      </c>
      <c r="R19" s="97">
        <v>30.982835625311843</v>
      </c>
      <c r="S19" s="97">
        <v>28.977610860429493</v>
      </c>
      <c r="T19" s="97">
        <v>27.712649743908521</v>
      </c>
      <c r="U19" s="97">
        <v>26.519863642969778</v>
      </c>
      <c r="V19" s="97">
        <v>26.449648757543542</v>
      </c>
      <c r="W19" s="97">
        <v>25.670977457609069</v>
      </c>
      <c r="X19" s="97">
        <v>26.071744689902047</v>
      </c>
      <c r="Y19" s="97">
        <v>26.431628463137745</v>
      </c>
      <c r="Z19" s="97">
        <v>26.926028147933312</v>
      </c>
      <c r="AA19" s="97">
        <v>26.922272787930869</v>
      </c>
      <c r="AB19" s="97">
        <v>27.844099894033331</v>
      </c>
      <c r="AC19" s="97">
        <v>27.416570728533667</v>
      </c>
      <c r="AD19" s="97">
        <v>28.423212271140667</v>
      </c>
      <c r="AE19" s="97">
        <v>28.723870616329833</v>
      </c>
      <c r="AF19" s="97">
        <v>28.57410621672912</v>
      </c>
      <c r="AG19" s="97">
        <v>27.610870680362208</v>
      </c>
      <c r="AH19" s="97">
        <v>28.389126562256411</v>
      </c>
    </row>
    <row r="20" spans="1:34" x14ac:dyDescent="0.3">
      <c r="A20" s="97" t="s">
        <v>89</v>
      </c>
      <c r="B20" s="97" t="str">
        <f t="shared" si="0"/>
        <v>Solar - Tracking-H</v>
      </c>
      <c r="C20" s="97" t="s">
        <v>51</v>
      </c>
      <c r="D20" s="97" t="s">
        <v>11</v>
      </c>
      <c r="E20" s="97">
        <v>36.744009628490133</v>
      </c>
      <c r="F20" s="97">
        <v>37.302655115746603</v>
      </c>
      <c r="G20" s="97">
        <v>37.829830864258888</v>
      </c>
      <c r="H20" s="97">
        <v>37.463699383963252</v>
      </c>
      <c r="I20" s="97">
        <v>37.289428768960256</v>
      </c>
      <c r="J20" s="97">
        <v>37.868832954181237</v>
      </c>
      <c r="K20" s="97">
        <v>36.619448178198681</v>
      </c>
      <c r="L20" s="97">
        <v>36.15594951271801</v>
      </c>
      <c r="M20" s="97">
        <v>36.38632366032855</v>
      </c>
      <c r="N20" s="97">
        <v>36.162990432595379</v>
      </c>
      <c r="O20" s="97">
        <v>34.497002878810193</v>
      </c>
      <c r="P20" s="97">
        <v>33.793992746499306</v>
      </c>
      <c r="Q20" s="97">
        <v>31.740815871823791</v>
      </c>
      <c r="R20" s="97">
        <v>31.026816017461329</v>
      </c>
      <c r="S20" s="97">
        <v>29.312800984978608</v>
      </c>
      <c r="T20" s="97">
        <v>28.425155402641959</v>
      </c>
      <c r="U20" s="97">
        <v>27.226327333623164</v>
      </c>
      <c r="V20" s="97">
        <v>26.975232990969719</v>
      </c>
      <c r="W20" s="97">
        <v>26.031664644983305</v>
      </c>
      <c r="X20" s="97">
        <v>28.186873816658277</v>
      </c>
      <c r="Y20" s="97">
        <v>28.533076116093778</v>
      </c>
      <c r="Z20" s="97">
        <v>29.382083071989456</v>
      </c>
      <c r="AA20" s="97">
        <v>29.56176437244352</v>
      </c>
      <c r="AB20" s="97">
        <v>30.539032637860622</v>
      </c>
      <c r="AC20" s="97">
        <v>30.378717984560602</v>
      </c>
      <c r="AD20" s="97">
        <v>31.470496556412161</v>
      </c>
      <c r="AE20" s="97">
        <v>31.898708936410554</v>
      </c>
      <c r="AF20" s="97">
        <v>31.9512146786047</v>
      </c>
      <c r="AG20" s="97">
        <v>31.001823291375462</v>
      </c>
      <c r="AH20" s="97">
        <v>31.499164812348443</v>
      </c>
    </row>
    <row r="21" spans="1:34" x14ac:dyDescent="0.3">
      <c r="A21" s="97" t="s">
        <v>89</v>
      </c>
      <c r="B21" s="97" t="str">
        <f t="shared" si="0"/>
        <v>Solar - Tracking-I</v>
      </c>
      <c r="C21" s="97" t="s">
        <v>51</v>
      </c>
      <c r="D21" s="97" t="s">
        <v>27</v>
      </c>
      <c r="E21" s="97">
        <v>36.688880409770221</v>
      </c>
      <c r="F21" s="97">
        <v>37.206081910720762</v>
      </c>
      <c r="G21" s="97">
        <v>37.689912593288625</v>
      </c>
      <c r="H21" s="97">
        <v>37.292582833990274</v>
      </c>
      <c r="I21" s="97">
        <v>37.192829016734713</v>
      </c>
      <c r="J21" s="97">
        <v>37.570944681160434</v>
      </c>
      <c r="K21" s="97">
        <v>36.321562973233142</v>
      </c>
      <c r="L21" s="97">
        <v>35.838318188840717</v>
      </c>
      <c r="M21" s="97">
        <v>36.145162288856383</v>
      </c>
      <c r="N21" s="97">
        <v>35.80804650906034</v>
      </c>
      <c r="O21" s="97">
        <v>34.477224744670252</v>
      </c>
      <c r="P21" s="97">
        <v>33.700350532530244</v>
      </c>
      <c r="Q21" s="97">
        <v>31.728653677290378</v>
      </c>
      <c r="R21" s="97">
        <v>31.007418848300869</v>
      </c>
      <c r="S21" s="97">
        <v>29.400479626574711</v>
      </c>
      <c r="T21" s="97">
        <v>28.595788422977439</v>
      </c>
      <c r="U21" s="97">
        <v>27.385698919895159</v>
      </c>
      <c r="V21" s="97">
        <v>27.133244680270426</v>
      </c>
      <c r="W21" s="97">
        <v>26.22388945329239</v>
      </c>
      <c r="X21" s="97">
        <v>27.98675338257496</v>
      </c>
      <c r="Y21" s="97">
        <v>28.307709487535242</v>
      </c>
      <c r="Z21" s="97">
        <v>29.09342938535319</v>
      </c>
      <c r="AA21" s="97">
        <v>29.194480424604091</v>
      </c>
      <c r="AB21" s="97">
        <v>30.271941195065757</v>
      </c>
      <c r="AC21" s="97">
        <v>30.085055700756424</v>
      </c>
      <c r="AD21" s="97">
        <v>31.142184894506748</v>
      </c>
      <c r="AE21" s="97">
        <v>31.550869108057949</v>
      </c>
      <c r="AF21" s="97">
        <v>31.574754539324719</v>
      </c>
      <c r="AG21" s="97">
        <v>30.602454633340837</v>
      </c>
      <c r="AH21" s="97">
        <v>31.180562681559774</v>
      </c>
    </row>
    <row r="22" spans="1:34" x14ac:dyDescent="0.3">
      <c r="A22" s="97" t="s">
        <v>89</v>
      </c>
      <c r="B22" s="97" t="str">
        <f t="shared" si="0"/>
        <v>Solar - Tracking-J</v>
      </c>
      <c r="C22" s="97" t="s">
        <v>51</v>
      </c>
      <c r="D22" s="97" t="s">
        <v>5</v>
      </c>
      <c r="E22" s="97">
        <v>37.130567970541719</v>
      </c>
      <c r="F22" s="97">
        <v>37.556677760700069</v>
      </c>
      <c r="G22" s="97">
        <v>38.003366106951503</v>
      </c>
      <c r="H22" s="97">
        <v>37.615138245818663</v>
      </c>
      <c r="I22" s="97">
        <v>37.320592108675918</v>
      </c>
      <c r="J22" s="97">
        <v>37.90582818257981</v>
      </c>
      <c r="K22" s="97">
        <v>36.370657143086994</v>
      </c>
      <c r="L22" s="97">
        <v>35.983500611949161</v>
      </c>
      <c r="M22" s="97">
        <v>36.210696458385165</v>
      </c>
      <c r="N22" s="97">
        <v>36.072928953327157</v>
      </c>
      <c r="O22" s="97">
        <v>34.708957185815123</v>
      </c>
      <c r="P22" s="97">
        <v>34.059442481129466</v>
      </c>
      <c r="Q22" s="97">
        <v>32.346853641488416</v>
      </c>
      <c r="R22" s="97">
        <v>32.04979101275098</v>
      </c>
      <c r="S22" s="97">
        <v>30.781676688707201</v>
      </c>
      <c r="T22" s="97">
        <v>30.096404431418978</v>
      </c>
      <c r="U22" s="97">
        <v>29.409746065325308</v>
      </c>
      <c r="V22" s="97">
        <v>29.742480665389184</v>
      </c>
      <c r="W22" s="97">
        <v>29.194477395484796</v>
      </c>
      <c r="X22" s="97">
        <v>29.505324025580688</v>
      </c>
      <c r="Y22" s="97">
        <v>29.971716389667787</v>
      </c>
      <c r="Z22" s="97">
        <v>30.989134152260267</v>
      </c>
      <c r="AA22" s="97">
        <v>30.975322172046795</v>
      </c>
      <c r="AB22" s="97">
        <v>32.173862051129362</v>
      </c>
      <c r="AC22" s="97">
        <v>31.852280379369525</v>
      </c>
      <c r="AD22" s="97">
        <v>33.237485333179478</v>
      </c>
      <c r="AE22" s="97">
        <v>33.666535914475205</v>
      </c>
      <c r="AF22" s="97">
        <v>33.685722780769389</v>
      </c>
      <c r="AG22" s="97">
        <v>32.832809765515165</v>
      </c>
      <c r="AH22" s="97">
        <v>33.479667777926487</v>
      </c>
    </row>
    <row r="23" spans="1:34" x14ac:dyDescent="0.3">
      <c r="A23" s="97" t="s">
        <v>89</v>
      </c>
      <c r="B23" s="97" t="str">
        <f t="shared" si="0"/>
        <v>Solar - Tracking-K</v>
      </c>
      <c r="C23" s="97" t="s">
        <v>51</v>
      </c>
      <c r="D23" s="97" t="s">
        <v>28</v>
      </c>
      <c r="E23" s="97">
        <v>40.270324143031047</v>
      </c>
      <c r="F23" s="97">
        <v>40.704052903944849</v>
      </c>
      <c r="G23" s="97">
        <v>41.371105568593407</v>
      </c>
      <c r="H23" s="97">
        <v>41.05443746149615</v>
      </c>
      <c r="I23" s="97">
        <v>40.408484578804462</v>
      </c>
      <c r="J23" s="97">
        <v>40.599582672068664</v>
      </c>
      <c r="K23" s="97">
        <v>39.473618905477323</v>
      </c>
      <c r="L23" s="97">
        <v>40.15462591404799</v>
      </c>
      <c r="M23" s="97">
        <v>38.330773557409977</v>
      </c>
      <c r="N23" s="97">
        <v>37.358626610246517</v>
      </c>
      <c r="O23" s="97">
        <v>36.097030318137264</v>
      </c>
      <c r="P23" s="97">
        <v>35.441283641869319</v>
      </c>
      <c r="Q23" s="97">
        <v>33.364766080837448</v>
      </c>
      <c r="R23" s="97">
        <v>32.880948041700584</v>
      </c>
      <c r="S23" s="97">
        <v>31.633333130445209</v>
      </c>
      <c r="T23" s="97">
        <v>30.747922121975925</v>
      </c>
      <c r="U23" s="97">
        <v>30.611809505228564</v>
      </c>
      <c r="V23" s="97">
        <v>30.488151762595415</v>
      </c>
      <c r="W23" s="97">
        <v>30.183235990028589</v>
      </c>
      <c r="X23" s="97">
        <v>31.128359906677399</v>
      </c>
      <c r="Y23" s="97">
        <v>31.198741458650961</v>
      </c>
      <c r="Z23" s="97">
        <v>32.123052791878528</v>
      </c>
      <c r="AA23" s="97">
        <v>32.05187434400316</v>
      </c>
      <c r="AB23" s="97">
        <v>33.299248731574437</v>
      </c>
      <c r="AC23" s="97">
        <v>32.490074798920951</v>
      </c>
      <c r="AD23" s="97">
        <v>34.074937070199354</v>
      </c>
      <c r="AE23" s="97">
        <v>34.274467221759821</v>
      </c>
      <c r="AF23" s="97">
        <v>34.541452126329602</v>
      </c>
      <c r="AG23" s="97">
        <v>33.143690621153617</v>
      </c>
      <c r="AH23" s="97">
        <v>34.275561401650201</v>
      </c>
    </row>
    <row r="24" spans="1:34" x14ac:dyDescent="0.3">
      <c r="A24" s="97" t="s">
        <v>89</v>
      </c>
      <c r="B24" s="97" t="str">
        <f t="shared" si="0"/>
        <v>Land Based Wind-A</v>
      </c>
      <c r="C24" s="97" t="s">
        <v>47</v>
      </c>
      <c r="D24" s="97" t="s">
        <v>8</v>
      </c>
      <c r="E24" s="97">
        <v>28.41402562957671</v>
      </c>
      <c r="F24" s="97">
        <v>31.636752239398312</v>
      </c>
      <c r="G24" s="97">
        <v>31.809326519958667</v>
      </c>
      <c r="H24" s="97">
        <v>31.677903317488862</v>
      </c>
      <c r="I24" s="97">
        <v>32.230285316071267</v>
      </c>
      <c r="J24" s="97">
        <v>33.451698250571582</v>
      </c>
      <c r="K24" s="97">
        <v>32.943750104058559</v>
      </c>
      <c r="L24" s="97">
        <v>32.88666825146553</v>
      </c>
      <c r="M24" s="97">
        <v>34.110735955342633</v>
      </c>
      <c r="N24" s="97">
        <v>35.363532792446655</v>
      </c>
      <c r="O24" s="97">
        <v>35.274857249838789</v>
      </c>
      <c r="P24" s="97">
        <v>35.040601048871252</v>
      </c>
      <c r="Q24" s="97">
        <v>34.634015612156141</v>
      </c>
      <c r="R24" s="97">
        <v>34.905013356956275</v>
      </c>
      <c r="S24" s="97">
        <v>34.462117289998552</v>
      </c>
      <c r="T24" s="97">
        <v>34.796853690977564</v>
      </c>
      <c r="U24" s="97">
        <v>34.816674752628614</v>
      </c>
      <c r="V24" s="97">
        <v>36.292403950428266</v>
      </c>
      <c r="W24" s="97">
        <v>36.235830646636479</v>
      </c>
      <c r="X24" s="97">
        <v>36.504160664131192</v>
      </c>
      <c r="Y24" s="97">
        <v>37.433114432136485</v>
      </c>
      <c r="Z24" s="97">
        <v>38.681409803834121</v>
      </c>
      <c r="AA24" s="97">
        <v>39.703276709495995</v>
      </c>
      <c r="AB24" s="97">
        <v>41.361627740834699</v>
      </c>
      <c r="AC24" s="97">
        <v>41.431100520722907</v>
      </c>
      <c r="AD24" s="97">
        <v>42.815846586849105</v>
      </c>
      <c r="AE24" s="97">
        <v>42.944251988753763</v>
      </c>
      <c r="AF24" s="97">
        <v>43.513782769392435</v>
      </c>
      <c r="AG24" s="97">
        <v>42.846390373035668</v>
      </c>
      <c r="AH24" s="97">
        <v>47.737804703926166</v>
      </c>
    </row>
    <row r="25" spans="1:34" x14ac:dyDescent="0.3">
      <c r="A25" s="97" t="s">
        <v>89</v>
      </c>
      <c r="B25" s="97" t="str">
        <f t="shared" si="0"/>
        <v>Land Based Wind-B</v>
      </c>
      <c r="C25" s="97" t="s">
        <v>47</v>
      </c>
      <c r="D25" s="97" t="s">
        <v>9</v>
      </c>
      <c r="E25" s="97">
        <v>28.523190760480265</v>
      </c>
      <c r="F25" s="97">
        <v>30.4914647031055</v>
      </c>
      <c r="G25" s="97">
        <v>29.862282220449917</v>
      </c>
      <c r="H25" s="97">
        <v>30.465511686440223</v>
      </c>
      <c r="I25" s="97">
        <v>32.656820736811227</v>
      </c>
      <c r="J25" s="97">
        <v>33.847611996084829</v>
      </c>
      <c r="K25" s="97">
        <v>33.29497005659681</v>
      </c>
      <c r="L25" s="97">
        <v>33.233365216070148</v>
      </c>
      <c r="M25" s="97">
        <v>34.437700226362097</v>
      </c>
      <c r="N25" s="97">
        <v>35.625412742362684</v>
      </c>
      <c r="O25" s="97">
        <v>35.14526909398591</v>
      </c>
      <c r="P25" s="97">
        <v>34.966592760869574</v>
      </c>
      <c r="Q25" s="97">
        <v>34.470506475268905</v>
      </c>
      <c r="R25" s="97">
        <v>34.712417204401206</v>
      </c>
      <c r="S25" s="97">
        <v>34.067732387226307</v>
      </c>
      <c r="T25" s="97">
        <v>34.401375262124304</v>
      </c>
      <c r="U25" s="97">
        <v>33.894183257659243</v>
      </c>
      <c r="V25" s="97">
        <v>35.551427573926219</v>
      </c>
      <c r="W25" s="97">
        <v>35.715729441869854</v>
      </c>
      <c r="X25" s="97">
        <v>35.857857909370018</v>
      </c>
      <c r="Y25" s="97">
        <v>36.598807855610424</v>
      </c>
      <c r="Z25" s="97">
        <v>38.171489613561327</v>
      </c>
      <c r="AA25" s="97">
        <v>38.863335540523707</v>
      </c>
      <c r="AB25" s="97">
        <v>41.031327913445118</v>
      </c>
      <c r="AC25" s="97">
        <v>41.051341628644685</v>
      </c>
      <c r="AD25" s="97">
        <v>42.880007810826321</v>
      </c>
      <c r="AE25" s="97">
        <v>43.14151249744436</v>
      </c>
      <c r="AF25" s="97">
        <v>44.03068647512012</v>
      </c>
      <c r="AG25" s="97">
        <v>43.311766717402527</v>
      </c>
      <c r="AH25" s="97">
        <v>48.105241574789254</v>
      </c>
    </row>
    <row r="26" spans="1:34" x14ac:dyDescent="0.3">
      <c r="A26" s="97" t="s">
        <v>89</v>
      </c>
      <c r="B26" s="97" t="str">
        <f t="shared" si="0"/>
        <v>Land Based Wind-C</v>
      </c>
      <c r="C26" s="97" t="s">
        <v>47</v>
      </c>
      <c r="D26" s="97" t="s">
        <v>7</v>
      </c>
      <c r="E26" s="97">
        <v>28.724291675580389</v>
      </c>
      <c r="F26" s="97">
        <v>30.619826073166049</v>
      </c>
      <c r="G26" s="97">
        <v>29.863282709343991</v>
      </c>
      <c r="H26" s="97">
        <v>30.607172825555775</v>
      </c>
      <c r="I26" s="97">
        <v>32.541712821135192</v>
      </c>
      <c r="J26" s="97">
        <v>33.640600583261595</v>
      </c>
      <c r="K26" s="97">
        <v>33.043369620340158</v>
      </c>
      <c r="L26" s="97">
        <v>33.096424072668029</v>
      </c>
      <c r="M26" s="97">
        <v>34.212455393217269</v>
      </c>
      <c r="N26" s="97">
        <v>35.342420028046305</v>
      </c>
      <c r="O26" s="97">
        <v>34.877265445061454</v>
      </c>
      <c r="P26" s="97">
        <v>34.6348976491294</v>
      </c>
      <c r="Q26" s="97">
        <v>34.003927346129366</v>
      </c>
      <c r="R26" s="97">
        <v>34.393102855559015</v>
      </c>
      <c r="S26" s="97">
        <v>33.571485772364511</v>
      </c>
      <c r="T26" s="97">
        <v>33.733405699990314</v>
      </c>
      <c r="U26" s="97">
        <v>33.431424862980556</v>
      </c>
      <c r="V26" s="97">
        <v>34.882469097120683</v>
      </c>
      <c r="W26" s="97">
        <v>34.734253972709972</v>
      </c>
      <c r="X26" s="97">
        <v>35.536839093420127</v>
      </c>
      <c r="Y26" s="97">
        <v>36.270691546553799</v>
      </c>
      <c r="Z26" s="97">
        <v>37.808735446510269</v>
      </c>
      <c r="AA26" s="97">
        <v>38.485051949688874</v>
      </c>
      <c r="AB26" s="97">
        <v>40.671619383021984</v>
      </c>
      <c r="AC26" s="97">
        <v>40.669703847685177</v>
      </c>
      <c r="AD26" s="97">
        <v>42.493269015404657</v>
      </c>
      <c r="AE26" s="97">
        <v>42.760821245134082</v>
      </c>
      <c r="AF26" s="97">
        <v>43.653890102114858</v>
      </c>
      <c r="AG26" s="97">
        <v>42.965987534137703</v>
      </c>
      <c r="AH26" s="97">
        <v>47.766441678383565</v>
      </c>
    </row>
    <row r="27" spans="1:34" x14ac:dyDescent="0.3">
      <c r="A27" s="97" t="s">
        <v>89</v>
      </c>
      <c r="B27" s="97" t="str">
        <f t="shared" si="0"/>
        <v>Land Based Wind-D</v>
      </c>
      <c r="C27" s="97" t="s">
        <v>47</v>
      </c>
      <c r="D27" s="97" t="s">
        <v>10</v>
      </c>
      <c r="E27" s="97">
        <v>25.54462875216861</v>
      </c>
      <c r="F27" s="97">
        <v>27.077217144336348</v>
      </c>
      <c r="G27" s="97">
        <v>26.658104272319175</v>
      </c>
      <c r="H27" s="97">
        <v>27.651523782450788</v>
      </c>
      <c r="I27" s="97">
        <v>30.598254216220841</v>
      </c>
      <c r="J27" s="97">
        <v>31.736674520150583</v>
      </c>
      <c r="K27" s="97">
        <v>31.13708544403104</v>
      </c>
      <c r="L27" s="97">
        <v>31.130789483446375</v>
      </c>
      <c r="M27" s="97">
        <v>32.24026755233259</v>
      </c>
      <c r="N27" s="97">
        <v>33.288412053915735</v>
      </c>
      <c r="O27" s="97">
        <v>32.910000185579023</v>
      </c>
      <c r="P27" s="97">
        <v>32.588208541021046</v>
      </c>
      <c r="Q27" s="97">
        <v>32.07238426166694</v>
      </c>
      <c r="R27" s="97">
        <v>32.427807792383085</v>
      </c>
      <c r="S27" s="97">
        <v>31.727912966018344</v>
      </c>
      <c r="T27" s="97">
        <v>31.886583227235899</v>
      </c>
      <c r="U27" s="97">
        <v>31.68500397559373</v>
      </c>
      <c r="V27" s="97">
        <v>33.09818758213617</v>
      </c>
      <c r="W27" s="97">
        <v>33.03461055163104</v>
      </c>
      <c r="X27" s="97">
        <v>33.783694492018682</v>
      </c>
      <c r="Y27" s="97">
        <v>34.496234122176723</v>
      </c>
      <c r="Z27" s="97">
        <v>35.943685573461181</v>
      </c>
      <c r="AA27" s="97">
        <v>36.763597457299326</v>
      </c>
      <c r="AB27" s="97">
        <v>38.800486981787088</v>
      </c>
      <c r="AC27" s="97">
        <v>38.78307294364037</v>
      </c>
      <c r="AD27" s="97">
        <v>40.501762206398126</v>
      </c>
      <c r="AE27" s="97">
        <v>40.783858602381095</v>
      </c>
      <c r="AF27" s="97">
        <v>41.593078131557455</v>
      </c>
      <c r="AG27" s="97">
        <v>40.960956702730797</v>
      </c>
      <c r="AH27" s="97">
        <v>45.513724570765085</v>
      </c>
    </row>
    <row r="28" spans="1:34" x14ac:dyDescent="0.3">
      <c r="A28" s="97" t="s">
        <v>89</v>
      </c>
      <c r="B28" s="97" t="str">
        <f t="shared" si="0"/>
        <v>Land Based Wind-E</v>
      </c>
      <c r="C28" s="97" t="s">
        <v>47</v>
      </c>
      <c r="D28" s="97" t="s">
        <v>3</v>
      </c>
      <c r="E28" s="97">
        <v>29.464571933997977</v>
      </c>
      <c r="F28" s="97">
        <v>31.200027595917</v>
      </c>
      <c r="G28" s="97">
        <v>30.456451146217411</v>
      </c>
      <c r="H28" s="97">
        <v>31.175535553079779</v>
      </c>
      <c r="I28" s="97">
        <v>33.126144763329975</v>
      </c>
      <c r="J28" s="97">
        <v>34.230009737831402</v>
      </c>
      <c r="K28" s="97">
        <v>33.658864239353655</v>
      </c>
      <c r="L28" s="97">
        <v>33.698941632310166</v>
      </c>
      <c r="M28" s="97">
        <v>34.827645346062667</v>
      </c>
      <c r="N28" s="97">
        <v>35.929790349243348</v>
      </c>
      <c r="O28" s="97">
        <v>35.497182851933928</v>
      </c>
      <c r="P28" s="97">
        <v>35.222221094866669</v>
      </c>
      <c r="Q28" s="97">
        <v>34.634100041941423</v>
      </c>
      <c r="R28" s="97">
        <v>35.012381137088568</v>
      </c>
      <c r="S28" s="97">
        <v>34.198090671859411</v>
      </c>
      <c r="T28" s="97">
        <v>34.321362190766344</v>
      </c>
      <c r="U28" s="97">
        <v>34.053371778956119</v>
      </c>
      <c r="V28" s="97">
        <v>35.480743569369814</v>
      </c>
      <c r="W28" s="97">
        <v>35.376498103663764</v>
      </c>
      <c r="X28" s="97">
        <v>36.1305823483438</v>
      </c>
      <c r="Y28" s="97">
        <v>36.901317018998206</v>
      </c>
      <c r="Z28" s="97">
        <v>38.416644779493282</v>
      </c>
      <c r="AA28" s="97">
        <v>39.12620852573734</v>
      </c>
      <c r="AB28" s="97">
        <v>41.336878415130414</v>
      </c>
      <c r="AC28" s="97">
        <v>41.384705080264858</v>
      </c>
      <c r="AD28" s="97">
        <v>43.17886877757752</v>
      </c>
      <c r="AE28" s="97">
        <v>43.447901418146962</v>
      </c>
      <c r="AF28" s="97">
        <v>44.346799607372525</v>
      </c>
      <c r="AG28" s="97">
        <v>43.686958693794608</v>
      </c>
      <c r="AH28" s="97">
        <v>48.444046775715151</v>
      </c>
    </row>
    <row r="29" spans="1:34" x14ac:dyDescent="0.3">
      <c r="A29" s="97" t="s">
        <v>89</v>
      </c>
      <c r="B29" s="97" t="str">
        <f t="shared" si="0"/>
        <v>Land Based Wind-F</v>
      </c>
      <c r="C29" s="97" t="s">
        <v>47</v>
      </c>
      <c r="D29" s="97" t="s">
        <v>6</v>
      </c>
      <c r="E29" s="97">
        <v>34.420687402370817</v>
      </c>
      <c r="F29" s="97">
        <v>35.822632400933799</v>
      </c>
      <c r="G29" s="97">
        <v>35.622140115107193</v>
      </c>
      <c r="H29" s="97">
        <v>35.579899979861189</v>
      </c>
      <c r="I29" s="97">
        <v>36.156470661788411</v>
      </c>
      <c r="J29" s="97">
        <v>36.777490415829583</v>
      </c>
      <c r="K29" s="97">
        <v>35.935613564671051</v>
      </c>
      <c r="L29" s="97">
        <v>36.215124788810044</v>
      </c>
      <c r="M29" s="97">
        <v>37.050898280291605</v>
      </c>
      <c r="N29" s="97">
        <v>38.033778466678498</v>
      </c>
      <c r="O29" s="97">
        <v>37.612272896357439</v>
      </c>
      <c r="P29" s="97">
        <v>37.450754415714826</v>
      </c>
      <c r="Q29" s="97">
        <v>36.925612510414261</v>
      </c>
      <c r="R29" s="97">
        <v>37.359355030425789</v>
      </c>
      <c r="S29" s="97">
        <v>36.498192557158838</v>
      </c>
      <c r="T29" s="97">
        <v>36.58761013473702</v>
      </c>
      <c r="U29" s="97">
        <v>36.42171525934053</v>
      </c>
      <c r="V29" s="97">
        <v>37.926471516148702</v>
      </c>
      <c r="W29" s="97">
        <v>37.849843534750306</v>
      </c>
      <c r="X29" s="97">
        <v>38.644492941807535</v>
      </c>
      <c r="Y29" s="97">
        <v>39.663704154394871</v>
      </c>
      <c r="Z29" s="97">
        <v>41.235642974114342</v>
      </c>
      <c r="AA29" s="97">
        <v>41.987640248306164</v>
      </c>
      <c r="AB29" s="97">
        <v>44.21189126381028</v>
      </c>
      <c r="AC29" s="97">
        <v>44.390182373116986</v>
      </c>
      <c r="AD29" s="97">
        <v>46.609323343490686</v>
      </c>
      <c r="AE29" s="97">
        <v>47.273897265479924</v>
      </c>
      <c r="AF29" s="97">
        <v>48.097042540037322</v>
      </c>
      <c r="AG29" s="97">
        <v>47.702112319241223</v>
      </c>
      <c r="AH29" s="97">
        <v>52.292920728423681</v>
      </c>
    </row>
    <row r="30" spans="1:34" x14ac:dyDescent="0.3">
      <c r="A30" s="97" t="s">
        <v>89</v>
      </c>
      <c r="B30" s="97" t="str">
        <f t="shared" si="0"/>
        <v>Land Based Wind-G</v>
      </c>
      <c r="C30" s="97" t="s">
        <v>47</v>
      </c>
      <c r="D30" s="97" t="s">
        <v>4</v>
      </c>
      <c r="E30" s="97">
        <v>36.141045426970656</v>
      </c>
      <c r="F30" s="97">
        <v>38.065347931520989</v>
      </c>
      <c r="G30" s="97">
        <v>38.111696210477795</v>
      </c>
      <c r="H30" s="97">
        <v>37.747718704371493</v>
      </c>
      <c r="I30" s="97">
        <v>38.120807088733798</v>
      </c>
      <c r="J30" s="97">
        <v>38.813578271614986</v>
      </c>
      <c r="K30" s="97">
        <v>37.983071434320628</v>
      </c>
      <c r="L30" s="97">
        <v>38.270784996757769</v>
      </c>
      <c r="M30" s="97">
        <v>39.095648287093915</v>
      </c>
      <c r="N30" s="97">
        <v>40.084379202919479</v>
      </c>
      <c r="O30" s="97">
        <v>39.673189605771022</v>
      </c>
      <c r="P30" s="97">
        <v>39.525858421896089</v>
      </c>
      <c r="Q30" s="97">
        <v>39.023958843043609</v>
      </c>
      <c r="R30" s="97">
        <v>39.44604203294378</v>
      </c>
      <c r="S30" s="97">
        <v>38.553615022787341</v>
      </c>
      <c r="T30" s="97">
        <v>38.63967663274147</v>
      </c>
      <c r="U30" s="97">
        <v>38.527617892400606</v>
      </c>
      <c r="V30" s="97">
        <v>39.992681757880312</v>
      </c>
      <c r="W30" s="97">
        <v>39.923020541667007</v>
      </c>
      <c r="X30" s="97">
        <v>40.769209161197942</v>
      </c>
      <c r="Y30" s="97">
        <v>41.814856038248685</v>
      </c>
      <c r="Z30" s="97">
        <v>43.40595988583555</v>
      </c>
      <c r="AA30" s="97">
        <v>44.184611626859756</v>
      </c>
      <c r="AB30" s="97">
        <v>46.436749282018866</v>
      </c>
      <c r="AC30" s="97">
        <v>46.754629851554697</v>
      </c>
      <c r="AD30" s="97">
        <v>49.055263118720497</v>
      </c>
      <c r="AE30" s="97">
        <v>49.87330983724317</v>
      </c>
      <c r="AF30" s="97">
        <v>50.747399365857142</v>
      </c>
      <c r="AG30" s="97">
        <v>50.391552457914258</v>
      </c>
      <c r="AH30" s="97">
        <v>54.886891518193472</v>
      </c>
    </row>
    <row r="31" spans="1:34" x14ac:dyDescent="0.3">
      <c r="A31" s="97" t="s">
        <v>89</v>
      </c>
      <c r="B31" s="97" t="str">
        <f t="shared" si="0"/>
        <v>Land Based Wind-H</v>
      </c>
      <c r="C31" s="97" t="s">
        <v>47</v>
      </c>
      <c r="D31" s="97" t="s">
        <v>11</v>
      </c>
      <c r="E31" s="97">
        <v>36.281374471705128</v>
      </c>
      <c r="F31" s="97">
        <v>38.172650280362774</v>
      </c>
      <c r="G31" s="97">
        <v>38.220503269192228</v>
      </c>
      <c r="H31" s="97">
        <v>37.868087207669618</v>
      </c>
      <c r="I31" s="97">
        <v>38.221721211475284</v>
      </c>
      <c r="J31" s="97">
        <v>38.914285214138978</v>
      </c>
      <c r="K31" s="97">
        <v>38.075838188226491</v>
      </c>
      <c r="L31" s="97">
        <v>38.36710874970251</v>
      </c>
      <c r="M31" s="97">
        <v>39.192697889087235</v>
      </c>
      <c r="N31" s="97">
        <v>40.174704875253632</v>
      </c>
      <c r="O31" s="97">
        <v>39.767574731305324</v>
      </c>
      <c r="P31" s="97">
        <v>39.619060224535822</v>
      </c>
      <c r="Q31" s="97">
        <v>39.123367935122445</v>
      </c>
      <c r="R31" s="97">
        <v>39.546884493095547</v>
      </c>
      <c r="S31" s="97">
        <v>38.649034423213756</v>
      </c>
      <c r="T31" s="97">
        <v>38.706748582108261</v>
      </c>
      <c r="U31" s="97">
        <v>38.595314461977033</v>
      </c>
      <c r="V31" s="97">
        <v>40.066368117352788</v>
      </c>
      <c r="W31" s="97">
        <v>40.003466390893088</v>
      </c>
      <c r="X31" s="97">
        <v>41.094508960078592</v>
      </c>
      <c r="Y31" s="97">
        <v>42.170529541810645</v>
      </c>
      <c r="Z31" s="97">
        <v>43.820264049181098</v>
      </c>
      <c r="AA31" s="97">
        <v>44.695404725746805</v>
      </c>
      <c r="AB31" s="97">
        <v>46.963650758480597</v>
      </c>
      <c r="AC31" s="97">
        <v>47.365857193641276</v>
      </c>
      <c r="AD31" s="97">
        <v>49.713626319155665</v>
      </c>
      <c r="AE31" s="97">
        <v>50.593170249586478</v>
      </c>
      <c r="AF31" s="97">
        <v>51.536304349985834</v>
      </c>
      <c r="AG31" s="97">
        <v>51.283226313849475</v>
      </c>
      <c r="AH31" s="97">
        <v>55.712594009548994</v>
      </c>
    </row>
    <row r="32" spans="1:34" x14ac:dyDescent="0.3">
      <c r="A32" s="97" t="s">
        <v>89</v>
      </c>
      <c r="B32" s="97" t="str">
        <f t="shared" si="0"/>
        <v>Land Based Wind-I</v>
      </c>
      <c r="C32" s="97" t="s">
        <v>47</v>
      </c>
      <c r="D32" s="97" t="s">
        <v>27</v>
      </c>
      <c r="E32" s="97">
        <v>36.378825140146034</v>
      </c>
      <c r="F32" s="97">
        <v>38.250893443594705</v>
      </c>
      <c r="G32" s="97">
        <v>38.303291914790584</v>
      </c>
      <c r="H32" s="97">
        <v>37.95093530527862</v>
      </c>
      <c r="I32" s="97">
        <v>38.299082138355018</v>
      </c>
      <c r="J32" s="97">
        <v>39.001246920059948</v>
      </c>
      <c r="K32" s="97">
        <v>38.160106184196152</v>
      </c>
      <c r="L32" s="97">
        <v>38.451079678310911</v>
      </c>
      <c r="M32" s="97">
        <v>39.27390170342796</v>
      </c>
      <c r="N32" s="97">
        <v>40.252996256102278</v>
      </c>
      <c r="O32" s="97">
        <v>39.833698032272892</v>
      </c>
      <c r="P32" s="97">
        <v>39.685012581202031</v>
      </c>
      <c r="Q32" s="97">
        <v>39.183753906780396</v>
      </c>
      <c r="R32" s="97">
        <v>39.606846874979539</v>
      </c>
      <c r="S32" s="97">
        <v>38.708780063619912</v>
      </c>
      <c r="T32" s="97">
        <v>38.762766003596475</v>
      </c>
      <c r="U32" s="97">
        <v>38.65514218227505</v>
      </c>
      <c r="V32" s="97">
        <v>40.126393328706236</v>
      </c>
      <c r="W32" s="97">
        <v>40.061992274286027</v>
      </c>
      <c r="X32" s="97">
        <v>41.165889705811665</v>
      </c>
      <c r="Y32" s="97">
        <v>42.245749185211245</v>
      </c>
      <c r="Z32" s="97">
        <v>43.895301924463411</v>
      </c>
      <c r="AA32" s="97">
        <v>44.771062454906435</v>
      </c>
      <c r="AB32" s="97">
        <v>47.038504897913356</v>
      </c>
      <c r="AC32" s="97">
        <v>47.442574444778529</v>
      </c>
      <c r="AD32" s="97">
        <v>49.791494344938648</v>
      </c>
      <c r="AE32" s="97">
        <v>50.669569334034868</v>
      </c>
      <c r="AF32" s="97">
        <v>51.621715993472478</v>
      </c>
      <c r="AG32" s="97">
        <v>51.369282662367219</v>
      </c>
      <c r="AH32" s="97">
        <v>55.78928957950879</v>
      </c>
    </row>
    <row r="33" spans="1:34" x14ac:dyDescent="0.3">
      <c r="A33" s="97" t="s">
        <v>89</v>
      </c>
      <c r="B33" s="97" t="str">
        <f t="shared" si="0"/>
        <v>Land Based Wind-J</v>
      </c>
      <c r="C33" s="97" t="s">
        <v>47</v>
      </c>
      <c r="D33" s="97" t="s">
        <v>5</v>
      </c>
      <c r="E33" s="97">
        <v>36.730558841846353</v>
      </c>
      <c r="F33" s="97">
        <v>38.52659824852816</v>
      </c>
      <c r="G33" s="97">
        <v>38.614708980642824</v>
      </c>
      <c r="H33" s="97">
        <v>38.302933834567014</v>
      </c>
      <c r="I33" s="97">
        <v>38.648443614400385</v>
      </c>
      <c r="J33" s="97">
        <v>39.395155485943363</v>
      </c>
      <c r="K33" s="97">
        <v>38.493043438097743</v>
      </c>
      <c r="L33" s="97">
        <v>38.794957416753512</v>
      </c>
      <c r="M33" s="97">
        <v>39.598238876936392</v>
      </c>
      <c r="N33" s="97">
        <v>40.594527262786343</v>
      </c>
      <c r="O33" s="97">
        <v>40.198783742120959</v>
      </c>
      <c r="P33" s="97">
        <v>40.061499577033416</v>
      </c>
      <c r="Q33" s="97">
        <v>39.636428154484086</v>
      </c>
      <c r="R33" s="97">
        <v>40.148516220688819</v>
      </c>
      <c r="S33" s="97">
        <v>39.301925931453752</v>
      </c>
      <c r="T33" s="97">
        <v>39.412370616010307</v>
      </c>
      <c r="U33" s="97">
        <v>39.426278326397131</v>
      </c>
      <c r="V33" s="97">
        <v>41.055493232303917</v>
      </c>
      <c r="W33" s="97">
        <v>41.086685367420159</v>
      </c>
      <c r="X33" s="97">
        <v>41.830730498968265</v>
      </c>
      <c r="Y33" s="97">
        <v>42.987094598401804</v>
      </c>
      <c r="Z33" s="97">
        <v>44.695677146490411</v>
      </c>
      <c r="AA33" s="97">
        <v>45.505689267522442</v>
      </c>
      <c r="AB33" s="97">
        <v>47.740756826050152</v>
      </c>
      <c r="AC33" s="97">
        <v>48.194376481797732</v>
      </c>
      <c r="AD33" s="97">
        <v>50.593078721115702</v>
      </c>
      <c r="AE33" s="97">
        <v>51.387027100878143</v>
      </c>
      <c r="AF33" s="97">
        <v>52.292310347809952</v>
      </c>
      <c r="AG33" s="97">
        <v>52.170695355044955</v>
      </c>
      <c r="AH33" s="97">
        <v>56.572963670597495</v>
      </c>
    </row>
    <row r="34" spans="1:34" x14ac:dyDescent="0.3">
      <c r="A34" s="97" t="s">
        <v>89</v>
      </c>
      <c r="B34" s="97" t="str">
        <f t="shared" si="0"/>
        <v>Land Based Wind-K</v>
      </c>
      <c r="C34" s="97" t="s">
        <v>47</v>
      </c>
      <c r="D34" s="97" t="s">
        <v>28</v>
      </c>
      <c r="E34" s="97">
        <v>40.711844659341565</v>
      </c>
      <c r="F34" s="97">
        <v>42.048640959094676</v>
      </c>
      <c r="G34" s="97">
        <v>42.288205095256608</v>
      </c>
      <c r="H34" s="97">
        <v>42.334728260241356</v>
      </c>
      <c r="I34" s="97">
        <v>41.294950263276974</v>
      </c>
      <c r="J34" s="97">
        <v>41.778287762626121</v>
      </c>
      <c r="K34" s="97">
        <v>40.706750054377501</v>
      </c>
      <c r="L34" s="97">
        <v>41.331005578862026</v>
      </c>
      <c r="M34" s="97">
        <v>40.001508140516471</v>
      </c>
      <c r="N34" s="97">
        <v>39.545777377631623</v>
      </c>
      <c r="O34" s="97">
        <v>38.986884802010131</v>
      </c>
      <c r="P34" s="97">
        <v>38.805974761300824</v>
      </c>
      <c r="Q34" s="97">
        <v>37.786304101884724</v>
      </c>
      <c r="R34" s="97">
        <v>38.180184116861597</v>
      </c>
      <c r="S34" s="97">
        <v>36.758286165791247</v>
      </c>
      <c r="T34" s="97">
        <v>37.049610863671589</v>
      </c>
      <c r="U34" s="97">
        <v>37.127857008720625</v>
      </c>
      <c r="V34" s="97">
        <v>38.864562589287402</v>
      </c>
      <c r="W34" s="97">
        <v>38.777407791217861</v>
      </c>
      <c r="X34" s="97">
        <v>39.974135154293535</v>
      </c>
      <c r="Y34" s="97">
        <v>41.137549112318972</v>
      </c>
      <c r="Z34" s="97">
        <v>42.556526011167485</v>
      </c>
      <c r="AA34" s="97">
        <v>43.55758441915799</v>
      </c>
      <c r="AB34" s="97">
        <v>45.547345522878366</v>
      </c>
      <c r="AC34" s="97">
        <v>45.296855559987648</v>
      </c>
      <c r="AD34" s="97">
        <v>47.478086685186867</v>
      </c>
      <c r="AE34" s="97">
        <v>48.589494739011514</v>
      </c>
      <c r="AF34" s="97">
        <v>50.043337643067005</v>
      </c>
      <c r="AG34" s="97">
        <v>49.202415259981905</v>
      </c>
      <c r="AH34" s="97">
        <v>53.233291937355411</v>
      </c>
    </row>
    <row r="35" spans="1:34" x14ac:dyDescent="0.3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</row>
    <row r="36" spans="1:34" x14ac:dyDescent="0.3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</row>
    <row r="37" spans="1:34" x14ac:dyDescent="0.3">
      <c r="A37" s="96" t="s">
        <v>88</v>
      </c>
      <c r="B37" s="96" t="s">
        <v>92</v>
      </c>
      <c r="C37" s="96" t="s">
        <v>87</v>
      </c>
      <c r="D37" s="96" t="s">
        <v>90</v>
      </c>
      <c r="E37" s="96">
        <v>2021</v>
      </c>
      <c r="F37" s="96">
        <v>2022</v>
      </c>
      <c r="G37" s="96">
        <v>2023</v>
      </c>
      <c r="H37" s="96">
        <v>2024</v>
      </c>
      <c r="I37" s="96">
        <v>2025</v>
      </c>
      <c r="J37" s="96">
        <v>2026</v>
      </c>
      <c r="K37" s="96">
        <v>2027</v>
      </c>
      <c r="L37" s="96">
        <v>2028</v>
      </c>
      <c r="M37" s="96">
        <v>2029</v>
      </c>
      <c r="N37" s="96">
        <v>2030</v>
      </c>
      <c r="O37" s="96">
        <v>2031</v>
      </c>
      <c r="P37" s="96">
        <v>2032</v>
      </c>
      <c r="Q37" s="96">
        <v>2033</v>
      </c>
      <c r="R37" s="96">
        <v>2034</v>
      </c>
      <c r="S37" s="96">
        <v>2035</v>
      </c>
      <c r="T37" s="96">
        <v>2036</v>
      </c>
      <c r="U37" s="96">
        <v>2037</v>
      </c>
      <c r="V37" s="96">
        <v>2038</v>
      </c>
      <c r="W37" s="96">
        <v>2039</v>
      </c>
      <c r="X37" s="96">
        <v>2040</v>
      </c>
      <c r="Y37" s="96">
        <v>2041</v>
      </c>
      <c r="Z37" s="96">
        <v>2042</v>
      </c>
      <c r="AA37" s="96">
        <v>2043</v>
      </c>
      <c r="AB37" s="96">
        <v>2044</v>
      </c>
      <c r="AC37" s="96">
        <v>2045</v>
      </c>
      <c r="AD37" s="96">
        <v>2046</v>
      </c>
      <c r="AE37" s="96">
        <v>2047</v>
      </c>
      <c r="AF37" s="96">
        <v>2048</v>
      </c>
      <c r="AG37" s="96">
        <v>2049</v>
      </c>
      <c r="AH37" s="96">
        <v>2050</v>
      </c>
    </row>
    <row r="38" spans="1:34" x14ac:dyDescent="0.3">
      <c r="A38" s="96" t="s">
        <v>83</v>
      </c>
      <c r="B38" s="96" t="s">
        <v>93</v>
      </c>
      <c r="C38" s="96" t="s">
        <v>52</v>
      </c>
      <c r="D38" s="96" t="s">
        <v>8</v>
      </c>
      <c r="E38" s="98">
        <v>13.18187468448996</v>
      </c>
      <c r="F38" s="98">
        <v>11.997064931299992</v>
      </c>
      <c r="G38" s="98">
        <v>13.968265598557887</v>
      </c>
      <c r="H38" s="98">
        <v>14.236631951268111</v>
      </c>
      <c r="I38" s="98">
        <v>14.326106520316531</v>
      </c>
      <c r="J38" s="98">
        <v>14.04751301136065</v>
      </c>
      <c r="K38" s="98">
        <v>14.074804071562921</v>
      </c>
      <c r="L38" s="98">
        <v>13.628712500206905</v>
      </c>
      <c r="M38" s="98">
        <v>13.165769636652783</v>
      </c>
      <c r="N38" s="98">
        <v>11.805345150089739</v>
      </c>
      <c r="O38" s="98">
        <v>11.262289014117576</v>
      </c>
      <c r="P38" s="98">
        <v>10.901476863337178</v>
      </c>
      <c r="Q38" s="98">
        <v>10.083472590628265</v>
      </c>
      <c r="R38" s="98">
        <v>9.2763346853033184</v>
      </c>
      <c r="S38" s="98">
        <v>8.1887665926663118</v>
      </c>
      <c r="T38" s="98">
        <v>8.0047975100508939</v>
      </c>
      <c r="U38" s="98">
        <v>7.726057109196347</v>
      </c>
      <c r="V38" s="98">
        <v>11.183206562231675</v>
      </c>
      <c r="W38" s="98">
        <v>11.010181849166148</v>
      </c>
      <c r="X38" s="98">
        <v>12.194009685005675</v>
      </c>
      <c r="Y38" s="98">
        <v>12.618973579611589</v>
      </c>
      <c r="Z38" s="98">
        <v>12.241364272109866</v>
      </c>
      <c r="AA38" s="98">
        <v>11.597400279654433</v>
      </c>
      <c r="AB38" s="98">
        <v>12.445281859955971</v>
      </c>
      <c r="AC38" s="98">
        <v>13.060470689374988</v>
      </c>
      <c r="AD38" s="98">
        <v>13.068447668451142</v>
      </c>
      <c r="AE38" s="98">
        <v>13.032887220003417</v>
      </c>
      <c r="AF38" s="98">
        <v>14.22965186546379</v>
      </c>
      <c r="AG38" s="98">
        <v>15.477242142828157</v>
      </c>
      <c r="AH38" s="98">
        <v>15.558416551061693</v>
      </c>
    </row>
    <row r="39" spans="1:34" x14ac:dyDescent="0.3">
      <c r="A39" s="96" t="s">
        <v>83</v>
      </c>
      <c r="B39" s="96" t="s">
        <v>94</v>
      </c>
      <c r="C39" s="96" t="s">
        <v>52</v>
      </c>
      <c r="D39" s="96" t="s">
        <v>9</v>
      </c>
      <c r="E39" s="98">
        <v>13.18187468448996</v>
      </c>
      <c r="F39" s="98">
        <v>11.997064931299992</v>
      </c>
      <c r="G39" s="98">
        <v>13.968265598557887</v>
      </c>
      <c r="H39" s="98">
        <v>14.236631951268111</v>
      </c>
      <c r="I39" s="98">
        <v>14.326106520316531</v>
      </c>
      <c r="J39" s="98">
        <v>14.04751301136065</v>
      </c>
      <c r="K39" s="98">
        <v>14.074804071562921</v>
      </c>
      <c r="L39" s="98">
        <v>13.628712500206905</v>
      </c>
      <c r="M39" s="98">
        <v>13.165769636652783</v>
      </c>
      <c r="N39" s="98">
        <v>11.805345150089739</v>
      </c>
      <c r="O39" s="98">
        <v>11.262289014117576</v>
      </c>
      <c r="P39" s="98">
        <v>10.901476863337178</v>
      </c>
      <c r="Q39" s="98">
        <v>10.083472590628265</v>
      </c>
      <c r="R39" s="98">
        <v>9.2763346853033184</v>
      </c>
      <c r="S39" s="98">
        <v>8.1887665926663118</v>
      </c>
      <c r="T39" s="98">
        <v>8.0047975100508939</v>
      </c>
      <c r="U39" s="98">
        <v>7.726057109196347</v>
      </c>
      <c r="V39" s="98">
        <v>11.183206562231675</v>
      </c>
      <c r="W39" s="98">
        <v>11.010181849166148</v>
      </c>
      <c r="X39" s="98">
        <v>12.194009685005675</v>
      </c>
      <c r="Y39" s="98">
        <v>12.618973579611589</v>
      </c>
      <c r="Z39" s="98">
        <v>12.241364272109866</v>
      </c>
      <c r="AA39" s="98">
        <v>11.597400279654433</v>
      </c>
      <c r="AB39" s="98">
        <v>12.445281859955971</v>
      </c>
      <c r="AC39" s="98">
        <v>13.060470689374988</v>
      </c>
      <c r="AD39" s="98">
        <v>13.068447668451142</v>
      </c>
      <c r="AE39" s="98">
        <v>13.032887220003417</v>
      </c>
      <c r="AF39" s="98">
        <v>14.22965186546379</v>
      </c>
      <c r="AG39" s="98">
        <v>15.477242142828157</v>
      </c>
      <c r="AH39" s="98">
        <v>15.558416551061693</v>
      </c>
    </row>
    <row r="40" spans="1:34" x14ac:dyDescent="0.3">
      <c r="A40" s="96" t="s">
        <v>83</v>
      </c>
      <c r="B40" s="96" t="s">
        <v>95</v>
      </c>
      <c r="C40" s="96" t="s">
        <v>52</v>
      </c>
      <c r="D40" s="96" t="s">
        <v>7</v>
      </c>
      <c r="E40" s="98">
        <v>13.18187468448996</v>
      </c>
      <c r="F40" s="98">
        <v>11.997064931299992</v>
      </c>
      <c r="G40" s="98">
        <v>13.968265598557887</v>
      </c>
      <c r="H40" s="98">
        <v>14.236631951268111</v>
      </c>
      <c r="I40" s="98">
        <v>14.326106520316531</v>
      </c>
      <c r="J40" s="98">
        <v>14.04751301136065</v>
      </c>
      <c r="K40" s="98">
        <v>14.074804071562921</v>
      </c>
      <c r="L40" s="98">
        <v>13.628712500206905</v>
      </c>
      <c r="M40" s="98">
        <v>13.165769636652783</v>
      </c>
      <c r="N40" s="98">
        <v>11.805345150089739</v>
      </c>
      <c r="O40" s="98">
        <v>11.262289014117576</v>
      </c>
      <c r="P40" s="98">
        <v>10.901476863337178</v>
      </c>
      <c r="Q40" s="98">
        <v>10.083472590628265</v>
      </c>
      <c r="R40" s="98">
        <v>9.2763346853033184</v>
      </c>
      <c r="S40" s="98">
        <v>8.1887665926663118</v>
      </c>
      <c r="T40" s="98">
        <v>8.0047975100508939</v>
      </c>
      <c r="U40" s="98">
        <v>7.726057109196347</v>
      </c>
      <c r="V40" s="98">
        <v>11.183206562231675</v>
      </c>
      <c r="W40" s="98">
        <v>11.010181849166148</v>
      </c>
      <c r="X40" s="98">
        <v>12.194009685005675</v>
      </c>
      <c r="Y40" s="98">
        <v>12.618973579611589</v>
      </c>
      <c r="Z40" s="98">
        <v>12.241364272109866</v>
      </c>
      <c r="AA40" s="98">
        <v>11.597400279654433</v>
      </c>
      <c r="AB40" s="98">
        <v>12.445281859955971</v>
      </c>
      <c r="AC40" s="98">
        <v>13.060470689374988</v>
      </c>
      <c r="AD40" s="98">
        <v>13.068447668451142</v>
      </c>
      <c r="AE40" s="98">
        <v>13.032887220003417</v>
      </c>
      <c r="AF40" s="98">
        <v>14.22965186546379</v>
      </c>
      <c r="AG40" s="98">
        <v>15.477242142828157</v>
      </c>
      <c r="AH40" s="98">
        <v>15.558416551061693</v>
      </c>
    </row>
    <row r="41" spans="1:34" x14ac:dyDescent="0.3">
      <c r="A41" s="96" t="s">
        <v>83</v>
      </c>
      <c r="B41" s="96" t="s">
        <v>96</v>
      </c>
      <c r="C41" s="96" t="s">
        <v>52</v>
      </c>
      <c r="D41" s="96" t="s">
        <v>10</v>
      </c>
      <c r="E41" s="98">
        <v>13.18187468448996</v>
      </c>
      <c r="F41" s="98">
        <v>11.997064931299992</v>
      </c>
      <c r="G41" s="98">
        <v>13.968265598557887</v>
      </c>
      <c r="H41" s="98">
        <v>14.236631951268111</v>
      </c>
      <c r="I41" s="98">
        <v>14.326106520316531</v>
      </c>
      <c r="J41" s="98">
        <v>14.04751301136065</v>
      </c>
      <c r="K41" s="98">
        <v>14.074804071562921</v>
      </c>
      <c r="L41" s="98">
        <v>13.628712500206905</v>
      </c>
      <c r="M41" s="98">
        <v>13.165769636652783</v>
      </c>
      <c r="N41" s="98">
        <v>11.805345150089739</v>
      </c>
      <c r="O41" s="98">
        <v>11.262289014117576</v>
      </c>
      <c r="P41" s="98">
        <v>10.901476863337178</v>
      </c>
      <c r="Q41" s="98">
        <v>10.083472590628265</v>
      </c>
      <c r="R41" s="98">
        <v>9.2763346853033184</v>
      </c>
      <c r="S41" s="98">
        <v>8.1887665926663118</v>
      </c>
      <c r="T41" s="98">
        <v>8.0047975100508939</v>
      </c>
      <c r="U41" s="98">
        <v>7.726057109196347</v>
      </c>
      <c r="V41" s="98">
        <v>11.183206562231675</v>
      </c>
      <c r="W41" s="98">
        <v>11.010181849166148</v>
      </c>
      <c r="X41" s="98">
        <v>12.194009685005675</v>
      </c>
      <c r="Y41" s="98">
        <v>12.618973579611589</v>
      </c>
      <c r="Z41" s="98">
        <v>12.241364272109866</v>
      </c>
      <c r="AA41" s="98">
        <v>11.597400279654433</v>
      </c>
      <c r="AB41" s="98">
        <v>12.445281859955971</v>
      </c>
      <c r="AC41" s="98">
        <v>13.060470689374988</v>
      </c>
      <c r="AD41" s="98">
        <v>13.068447668451142</v>
      </c>
      <c r="AE41" s="98">
        <v>13.032887220003417</v>
      </c>
      <c r="AF41" s="98">
        <v>14.22965186546379</v>
      </c>
      <c r="AG41" s="98">
        <v>15.477242142828157</v>
      </c>
      <c r="AH41" s="98">
        <v>15.558416551061693</v>
      </c>
    </row>
    <row r="42" spans="1:34" x14ac:dyDescent="0.3">
      <c r="A42" s="96" t="s">
        <v>83</v>
      </c>
      <c r="B42" s="96" t="s">
        <v>97</v>
      </c>
      <c r="C42" s="96" t="s">
        <v>52</v>
      </c>
      <c r="D42" s="96" t="s">
        <v>3</v>
      </c>
      <c r="E42" s="98">
        <v>13.18187468448996</v>
      </c>
      <c r="F42" s="98">
        <v>11.997064931299992</v>
      </c>
      <c r="G42" s="98">
        <v>13.968265598557887</v>
      </c>
      <c r="H42" s="98">
        <v>14.236631951268111</v>
      </c>
      <c r="I42" s="98">
        <v>14.326106520316531</v>
      </c>
      <c r="J42" s="98">
        <v>14.04751301136065</v>
      </c>
      <c r="K42" s="98">
        <v>14.074804071562921</v>
      </c>
      <c r="L42" s="98">
        <v>13.628712500206905</v>
      </c>
      <c r="M42" s="98">
        <v>13.165769636652783</v>
      </c>
      <c r="N42" s="98">
        <v>11.805345150089739</v>
      </c>
      <c r="O42" s="98">
        <v>11.262289014117576</v>
      </c>
      <c r="P42" s="98">
        <v>10.901476863337178</v>
      </c>
      <c r="Q42" s="98">
        <v>10.083472590628265</v>
      </c>
      <c r="R42" s="98">
        <v>9.2763346853033184</v>
      </c>
      <c r="S42" s="98">
        <v>8.1887665926663118</v>
      </c>
      <c r="T42" s="98">
        <v>8.0047975100508939</v>
      </c>
      <c r="U42" s="98">
        <v>7.726057109196347</v>
      </c>
      <c r="V42" s="98">
        <v>11.183206562231675</v>
      </c>
      <c r="W42" s="98">
        <v>11.010181849166148</v>
      </c>
      <c r="X42" s="98">
        <v>12.194009685005675</v>
      </c>
      <c r="Y42" s="98">
        <v>12.618973579611589</v>
      </c>
      <c r="Z42" s="98">
        <v>12.241364272109866</v>
      </c>
      <c r="AA42" s="98">
        <v>11.597400279654433</v>
      </c>
      <c r="AB42" s="98">
        <v>12.445281859955971</v>
      </c>
      <c r="AC42" s="98">
        <v>13.060470689374988</v>
      </c>
      <c r="AD42" s="98">
        <v>13.068447668451142</v>
      </c>
      <c r="AE42" s="98">
        <v>13.032887220003417</v>
      </c>
      <c r="AF42" s="98">
        <v>14.22965186546379</v>
      </c>
      <c r="AG42" s="98">
        <v>15.477242142828157</v>
      </c>
      <c r="AH42" s="98">
        <v>15.558416551061693</v>
      </c>
    </row>
    <row r="43" spans="1:34" x14ac:dyDescent="0.3">
      <c r="A43" s="96" t="s">
        <v>83</v>
      </c>
      <c r="B43" s="96" t="s">
        <v>98</v>
      </c>
      <c r="C43" s="96" t="s">
        <v>52</v>
      </c>
      <c r="D43" s="96" t="s">
        <v>6</v>
      </c>
      <c r="E43" s="98">
        <v>13.18187468448996</v>
      </c>
      <c r="F43" s="98">
        <v>11.997064931299992</v>
      </c>
      <c r="G43" s="98">
        <v>13.968265598557887</v>
      </c>
      <c r="H43" s="98">
        <v>14.236631951268111</v>
      </c>
      <c r="I43" s="98">
        <v>14.326106520316531</v>
      </c>
      <c r="J43" s="98">
        <v>14.04751301136065</v>
      </c>
      <c r="K43" s="98">
        <v>14.074804071562921</v>
      </c>
      <c r="L43" s="98">
        <v>13.628712500206905</v>
      </c>
      <c r="M43" s="98">
        <v>13.165769636652783</v>
      </c>
      <c r="N43" s="98">
        <v>11.805345150089739</v>
      </c>
      <c r="O43" s="98">
        <v>11.262289014117576</v>
      </c>
      <c r="P43" s="98">
        <v>10.901476863337178</v>
      </c>
      <c r="Q43" s="98">
        <v>10.083472590628265</v>
      </c>
      <c r="R43" s="98">
        <v>9.2763346853033184</v>
      </c>
      <c r="S43" s="98">
        <v>8.1887665926663118</v>
      </c>
      <c r="T43" s="98">
        <v>8.0047975100508939</v>
      </c>
      <c r="U43" s="98">
        <v>7.726057109196347</v>
      </c>
      <c r="V43" s="98">
        <v>11.183206562231675</v>
      </c>
      <c r="W43" s="98">
        <v>11.010181849166148</v>
      </c>
      <c r="X43" s="98">
        <v>12.194009685005675</v>
      </c>
      <c r="Y43" s="98">
        <v>12.618973579611589</v>
      </c>
      <c r="Z43" s="98">
        <v>12.241364272109866</v>
      </c>
      <c r="AA43" s="98">
        <v>11.597400279654433</v>
      </c>
      <c r="AB43" s="98">
        <v>12.445281859955971</v>
      </c>
      <c r="AC43" s="98">
        <v>13.060470689374988</v>
      </c>
      <c r="AD43" s="98">
        <v>13.068447668451142</v>
      </c>
      <c r="AE43" s="98">
        <v>13.032887220003417</v>
      </c>
      <c r="AF43" s="98">
        <v>14.22965186546379</v>
      </c>
      <c r="AG43" s="98">
        <v>15.477242142828157</v>
      </c>
      <c r="AH43" s="98">
        <v>15.558416551061693</v>
      </c>
    </row>
    <row r="44" spans="1:34" x14ac:dyDescent="0.3">
      <c r="A44" s="96" t="s">
        <v>83</v>
      </c>
      <c r="B44" s="96" t="s">
        <v>99</v>
      </c>
      <c r="C44" s="96" t="s">
        <v>52</v>
      </c>
      <c r="D44" s="96" t="s">
        <v>4</v>
      </c>
      <c r="E44" s="98">
        <v>13.408604827749899</v>
      </c>
      <c r="F44" s="98">
        <v>12.117449083359215</v>
      </c>
      <c r="G44" s="98">
        <v>14.618516754649244</v>
      </c>
      <c r="H44" s="98">
        <v>15.825001376171439</v>
      </c>
      <c r="I44" s="98">
        <v>16.003374479764869</v>
      </c>
      <c r="J44" s="98">
        <v>15.931759330286077</v>
      </c>
      <c r="K44" s="98">
        <v>15.697783692346668</v>
      </c>
      <c r="L44" s="98">
        <v>15.123910872249084</v>
      </c>
      <c r="M44" s="98">
        <v>14.624151690904503</v>
      </c>
      <c r="N44" s="98">
        <v>13.301031052169439</v>
      </c>
      <c r="O44" s="98">
        <v>12.788702529509008</v>
      </c>
      <c r="P44" s="98">
        <v>12.283830319653369</v>
      </c>
      <c r="Q44" s="98">
        <v>11.296417490800424</v>
      </c>
      <c r="R44" s="98">
        <v>10.323333445700859</v>
      </c>
      <c r="S44" s="98">
        <v>9.0485508292519121</v>
      </c>
      <c r="T44" s="98">
        <v>9.1721734829571666</v>
      </c>
      <c r="U44" s="98">
        <v>8.8108392009856615</v>
      </c>
      <c r="V44" s="98">
        <v>11.711729843075005</v>
      </c>
      <c r="W44" s="98">
        <v>11.43959719927469</v>
      </c>
      <c r="X44" s="98">
        <v>14.209683004163715</v>
      </c>
      <c r="Y44" s="98">
        <v>13.328255456133739</v>
      </c>
      <c r="Z44" s="98">
        <v>12.636948432361422</v>
      </c>
      <c r="AA44" s="98">
        <v>11.989172815380632</v>
      </c>
      <c r="AB44" s="98">
        <v>13.040424520877849</v>
      </c>
      <c r="AC44" s="98">
        <v>13.506753066493557</v>
      </c>
      <c r="AD44" s="98">
        <v>13.489556278375279</v>
      </c>
      <c r="AE44" s="98">
        <v>13.448607472214972</v>
      </c>
      <c r="AF44" s="98">
        <v>14.650724174570399</v>
      </c>
      <c r="AG44" s="98">
        <v>15.905113574891502</v>
      </c>
      <c r="AH44" s="98">
        <v>15.995405075093377</v>
      </c>
    </row>
    <row r="45" spans="1:34" x14ac:dyDescent="0.3">
      <c r="A45" s="96" t="s">
        <v>83</v>
      </c>
      <c r="B45" s="96" t="s">
        <v>100</v>
      </c>
      <c r="C45" s="96" t="s">
        <v>52</v>
      </c>
      <c r="D45" s="96" t="s">
        <v>11</v>
      </c>
      <c r="E45" s="98">
        <v>13.408604827749899</v>
      </c>
      <c r="F45" s="98">
        <v>12.117449083359215</v>
      </c>
      <c r="G45" s="98">
        <v>14.618516754649244</v>
      </c>
      <c r="H45" s="98">
        <v>15.825001376171439</v>
      </c>
      <c r="I45" s="98">
        <v>16.003374479764869</v>
      </c>
      <c r="J45" s="98">
        <v>15.931759330286077</v>
      </c>
      <c r="K45" s="98">
        <v>15.697783692346668</v>
      </c>
      <c r="L45" s="98">
        <v>15.123910872249084</v>
      </c>
      <c r="M45" s="98">
        <v>14.624151690904503</v>
      </c>
      <c r="N45" s="98">
        <v>13.301031052169439</v>
      </c>
      <c r="O45" s="98">
        <v>12.788702529509008</v>
      </c>
      <c r="P45" s="98">
        <v>12.283830319653369</v>
      </c>
      <c r="Q45" s="98">
        <v>11.296417490800424</v>
      </c>
      <c r="R45" s="98">
        <v>10.323333445700859</v>
      </c>
      <c r="S45" s="98">
        <v>9.0485508292519121</v>
      </c>
      <c r="T45" s="98">
        <v>9.1721734829571666</v>
      </c>
      <c r="U45" s="98">
        <v>8.8108392009856615</v>
      </c>
      <c r="V45" s="98">
        <v>11.711729843075005</v>
      </c>
      <c r="W45" s="98">
        <v>11.43959719927469</v>
      </c>
      <c r="X45" s="98">
        <v>14.209683004163715</v>
      </c>
      <c r="Y45" s="98">
        <v>13.328255456133739</v>
      </c>
      <c r="Z45" s="98">
        <v>12.636948432361422</v>
      </c>
      <c r="AA45" s="98">
        <v>11.989172815380632</v>
      </c>
      <c r="AB45" s="98">
        <v>13.040424520877849</v>
      </c>
      <c r="AC45" s="98">
        <v>13.506753066493557</v>
      </c>
      <c r="AD45" s="98">
        <v>13.489556278375279</v>
      </c>
      <c r="AE45" s="98">
        <v>13.448607472214972</v>
      </c>
      <c r="AF45" s="98">
        <v>14.650724174570399</v>
      </c>
      <c r="AG45" s="98">
        <v>15.905113574891502</v>
      </c>
      <c r="AH45" s="98">
        <v>15.995405075093377</v>
      </c>
    </row>
    <row r="46" spans="1:34" x14ac:dyDescent="0.3">
      <c r="A46" s="96" t="s">
        <v>83</v>
      </c>
      <c r="B46" s="96" t="s">
        <v>101</v>
      </c>
      <c r="C46" s="96" t="s">
        <v>52</v>
      </c>
      <c r="D46" s="96" t="s">
        <v>27</v>
      </c>
      <c r="E46" s="98">
        <v>13.408604827749899</v>
      </c>
      <c r="F46" s="98">
        <v>12.117449083359215</v>
      </c>
      <c r="G46" s="98">
        <v>14.618516754649244</v>
      </c>
      <c r="H46" s="98">
        <v>15.825001376171439</v>
      </c>
      <c r="I46" s="98">
        <v>16.003374479764869</v>
      </c>
      <c r="J46" s="98">
        <v>15.931759330286077</v>
      </c>
      <c r="K46" s="98">
        <v>15.697783692346668</v>
      </c>
      <c r="L46" s="98">
        <v>15.123910872249084</v>
      </c>
      <c r="M46" s="98">
        <v>14.624151690904503</v>
      </c>
      <c r="N46" s="98">
        <v>13.301031052169439</v>
      </c>
      <c r="O46" s="98">
        <v>12.788702529509008</v>
      </c>
      <c r="P46" s="98">
        <v>12.283830319653369</v>
      </c>
      <c r="Q46" s="98">
        <v>11.296417490800424</v>
      </c>
      <c r="R46" s="98">
        <v>10.323333445700859</v>
      </c>
      <c r="S46" s="98">
        <v>9.0485508292519121</v>
      </c>
      <c r="T46" s="98">
        <v>9.1721734829571666</v>
      </c>
      <c r="U46" s="98">
        <v>8.8108392009856615</v>
      </c>
      <c r="V46" s="98">
        <v>11.711729843075005</v>
      </c>
      <c r="W46" s="98">
        <v>11.43959719927469</v>
      </c>
      <c r="X46" s="98">
        <v>14.209683004163715</v>
      </c>
      <c r="Y46" s="98">
        <v>13.328255456133739</v>
      </c>
      <c r="Z46" s="98">
        <v>12.636948432361422</v>
      </c>
      <c r="AA46" s="98">
        <v>11.989172815380632</v>
      </c>
      <c r="AB46" s="98">
        <v>13.040424520877849</v>
      </c>
      <c r="AC46" s="98">
        <v>13.506753066493557</v>
      </c>
      <c r="AD46" s="98">
        <v>13.489556278375279</v>
      </c>
      <c r="AE46" s="98">
        <v>13.448607472214972</v>
      </c>
      <c r="AF46" s="98">
        <v>14.650724174570399</v>
      </c>
      <c r="AG46" s="98">
        <v>15.905113574891502</v>
      </c>
      <c r="AH46" s="98">
        <v>15.995405075093377</v>
      </c>
    </row>
    <row r="47" spans="1:34" x14ac:dyDescent="0.3">
      <c r="A47" s="96" t="s">
        <v>83</v>
      </c>
      <c r="B47" s="96" t="s">
        <v>102</v>
      </c>
      <c r="C47" s="96" t="s">
        <v>52</v>
      </c>
      <c r="D47" s="96" t="s">
        <v>5</v>
      </c>
      <c r="E47" s="98">
        <v>30.26587380183993</v>
      </c>
      <c r="F47" s="98">
        <v>38.74174345348905</v>
      </c>
      <c r="G47" s="98">
        <v>43.973545037195713</v>
      </c>
      <c r="H47" s="98">
        <v>38.917613863699628</v>
      </c>
      <c r="I47" s="98">
        <v>29.340361087425077</v>
      </c>
      <c r="J47" s="98">
        <v>26.648178860256031</v>
      </c>
      <c r="K47" s="98">
        <v>24.858012300562667</v>
      </c>
      <c r="L47" s="98">
        <v>23.476472912903255</v>
      </c>
      <c r="M47" s="98">
        <v>22.197589113811333</v>
      </c>
      <c r="N47" s="98">
        <v>19.753233354049812</v>
      </c>
      <c r="O47" s="98">
        <v>18.981061362444166</v>
      </c>
      <c r="P47" s="98">
        <v>17.881281590680338</v>
      </c>
      <c r="Q47" s="98">
        <v>16.881407374623308</v>
      </c>
      <c r="R47" s="98">
        <v>15.591836921641351</v>
      </c>
      <c r="S47" s="98">
        <v>13.850944358013532</v>
      </c>
      <c r="T47" s="98">
        <v>13.532683235921709</v>
      </c>
      <c r="U47" s="98">
        <v>12.985492377913381</v>
      </c>
      <c r="V47" s="98">
        <v>15.860399894634634</v>
      </c>
      <c r="W47" s="98">
        <v>15.505451032277374</v>
      </c>
      <c r="X47" s="98">
        <v>21.539766207257536</v>
      </c>
      <c r="Y47" s="98">
        <v>21.03571270766632</v>
      </c>
      <c r="Z47" s="98">
        <v>21.016880931654605</v>
      </c>
      <c r="AA47" s="98">
        <v>21.020885147679923</v>
      </c>
      <c r="AB47" s="98">
        <v>21.381012472401881</v>
      </c>
      <c r="AC47" s="98">
        <v>21.474808218359982</v>
      </c>
      <c r="AD47" s="98">
        <v>21.584619411707411</v>
      </c>
      <c r="AE47" s="98">
        <v>21.591920788750887</v>
      </c>
      <c r="AF47" s="98">
        <v>23.333383828151042</v>
      </c>
      <c r="AG47" s="98">
        <v>25.149379011171824</v>
      </c>
      <c r="AH47" s="98">
        <v>25.749479290773255</v>
      </c>
    </row>
    <row r="48" spans="1:34" x14ac:dyDescent="0.3">
      <c r="A48" s="96" t="s">
        <v>83</v>
      </c>
      <c r="B48" s="96" t="s">
        <v>103</v>
      </c>
      <c r="C48" s="96" t="s">
        <v>52</v>
      </c>
      <c r="D48" s="96" t="s">
        <v>28</v>
      </c>
      <c r="E48" s="98">
        <v>20.793658725763372</v>
      </c>
      <c r="F48" s="98">
        <v>12.641702648778413</v>
      </c>
      <c r="G48" s="98">
        <v>14.360658399716165</v>
      </c>
      <c r="H48" s="98">
        <v>14.450725474010081</v>
      </c>
      <c r="I48" s="98">
        <v>15.571256725778005</v>
      </c>
      <c r="J48" s="98">
        <v>16.296199295099104</v>
      </c>
      <c r="K48" s="98">
        <v>16.593232316450667</v>
      </c>
      <c r="L48" s="98">
        <v>18.057912827597548</v>
      </c>
      <c r="M48" s="98">
        <v>16.743753837287773</v>
      </c>
      <c r="N48" s="98">
        <v>15.423038222863202</v>
      </c>
      <c r="O48" s="98">
        <v>14.715682238172157</v>
      </c>
      <c r="P48" s="98">
        <v>13.790709617577479</v>
      </c>
      <c r="Q48" s="98">
        <v>12.943212672499653</v>
      </c>
      <c r="R48" s="98">
        <v>11.944808205529123</v>
      </c>
      <c r="S48" s="98">
        <v>10.645988462408894</v>
      </c>
      <c r="T48" s="98">
        <v>10.554420513826257</v>
      </c>
      <c r="U48" s="98">
        <v>10.152179363587328</v>
      </c>
      <c r="V48" s="98">
        <v>13.476595893167154</v>
      </c>
      <c r="W48" s="98">
        <v>13.212950228764907</v>
      </c>
      <c r="X48" s="98">
        <v>14.332354753273171</v>
      </c>
      <c r="Y48" s="98">
        <v>17.283488291022113</v>
      </c>
      <c r="Z48" s="98">
        <v>17.23121824980511</v>
      </c>
      <c r="AA48" s="98">
        <v>17.132912969558554</v>
      </c>
      <c r="AB48" s="98">
        <v>17.3418052563026</v>
      </c>
      <c r="AC48" s="98">
        <v>17.391648372125928</v>
      </c>
      <c r="AD48" s="98">
        <v>17.362556205804882</v>
      </c>
      <c r="AE48" s="98">
        <v>17.336374581627403</v>
      </c>
      <c r="AF48" s="98">
        <v>18.83711528773231</v>
      </c>
      <c r="AG48" s="98">
        <v>20.401793160394291</v>
      </c>
      <c r="AH48" s="98">
        <v>20.703269201320001</v>
      </c>
    </row>
    <row r="49" spans="1:34" x14ac:dyDescent="0.3">
      <c r="A49" s="96" t="s">
        <v>83</v>
      </c>
      <c r="B49" s="96" t="s">
        <v>104</v>
      </c>
      <c r="C49" s="96" t="s">
        <v>51</v>
      </c>
      <c r="D49" s="96" t="s">
        <v>8</v>
      </c>
      <c r="E49" s="98">
        <v>13.18187468448996</v>
      </c>
      <c r="F49" s="98">
        <v>11.997064931299992</v>
      </c>
      <c r="G49" s="98">
        <v>13.968265598557887</v>
      </c>
      <c r="H49" s="98">
        <v>14.236631951268111</v>
      </c>
      <c r="I49" s="98">
        <v>14.326106520316531</v>
      </c>
      <c r="J49" s="98">
        <v>14.04751301136065</v>
      </c>
      <c r="K49" s="98">
        <v>14.074804071562921</v>
      </c>
      <c r="L49" s="98">
        <v>13.628712500206905</v>
      </c>
      <c r="M49" s="98">
        <v>13.165769636652783</v>
      </c>
      <c r="N49" s="98">
        <v>11.805345150089739</v>
      </c>
      <c r="O49" s="98">
        <v>11.262289014117576</v>
      </c>
      <c r="P49" s="98">
        <v>10.901476863337178</v>
      </c>
      <c r="Q49" s="98">
        <v>10.083472590628265</v>
      </c>
      <c r="R49" s="98">
        <v>9.2763346853033184</v>
      </c>
      <c r="S49" s="98">
        <v>8.1887665926663118</v>
      </c>
      <c r="T49" s="98">
        <v>8.0047975100508939</v>
      </c>
      <c r="U49" s="98">
        <v>7.726057109196347</v>
      </c>
      <c r="V49" s="98">
        <v>11.183206562231675</v>
      </c>
      <c r="W49" s="98">
        <v>11.010181849166148</v>
      </c>
      <c r="X49" s="98">
        <v>12.194009685005675</v>
      </c>
      <c r="Y49" s="98">
        <v>12.618973579611589</v>
      </c>
      <c r="Z49" s="98">
        <v>12.241364272109866</v>
      </c>
      <c r="AA49" s="98">
        <v>11.597400279654433</v>
      </c>
      <c r="AB49" s="98">
        <v>12.445281859955971</v>
      </c>
      <c r="AC49" s="98">
        <v>13.060470689374988</v>
      </c>
      <c r="AD49" s="98">
        <v>13.068447668451142</v>
      </c>
      <c r="AE49" s="98">
        <v>13.032887220003417</v>
      </c>
      <c r="AF49" s="98">
        <v>14.22965186546379</v>
      </c>
      <c r="AG49" s="98">
        <v>15.477242142828157</v>
      </c>
      <c r="AH49" s="98">
        <v>15.558416551061693</v>
      </c>
    </row>
    <row r="50" spans="1:34" x14ac:dyDescent="0.3">
      <c r="A50" s="96" t="s">
        <v>83</v>
      </c>
      <c r="B50" s="96" t="s">
        <v>105</v>
      </c>
      <c r="C50" s="96" t="s">
        <v>51</v>
      </c>
      <c r="D50" s="96" t="s">
        <v>9</v>
      </c>
      <c r="E50" s="98">
        <v>13.18187468448996</v>
      </c>
      <c r="F50" s="98">
        <v>11.997064931299992</v>
      </c>
      <c r="G50" s="98">
        <v>13.968265598557887</v>
      </c>
      <c r="H50" s="98">
        <v>14.236631951268111</v>
      </c>
      <c r="I50" s="98">
        <v>14.326106520316531</v>
      </c>
      <c r="J50" s="98">
        <v>14.04751301136065</v>
      </c>
      <c r="K50" s="98">
        <v>14.074804071562921</v>
      </c>
      <c r="L50" s="98">
        <v>13.628712500206905</v>
      </c>
      <c r="M50" s="98">
        <v>13.165769636652783</v>
      </c>
      <c r="N50" s="98">
        <v>11.805345150089739</v>
      </c>
      <c r="O50" s="98">
        <v>11.262289014117576</v>
      </c>
      <c r="P50" s="98">
        <v>10.901476863337178</v>
      </c>
      <c r="Q50" s="98">
        <v>10.083472590628265</v>
      </c>
      <c r="R50" s="98">
        <v>9.2763346853033184</v>
      </c>
      <c r="S50" s="98">
        <v>8.1887665926663118</v>
      </c>
      <c r="T50" s="98">
        <v>8.0047975100508939</v>
      </c>
      <c r="U50" s="98">
        <v>7.726057109196347</v>
      </c>
      <c r="V50" s="98">
        <v>11.183206562231675</v>
      </c>
      <c r="W50" s="98">
        <v>11.010181849166148</v>
      </c>
      <c r="X50" s="98">
        <v>12.194009685005675</v>
      </c>
      <c r="Y50" s="98">
        <v>12.618973579611589</v>
      </c>
      <c r="Z50" s="98">
        <v>12.241364272109866</v>
      </c>
      <c r="AA50" s="98">
        <v>11.597400279654433</v>
      </c>
      <c r="AB50" s="98">
        <v>12.445281859955971</v>
      </c>
      <c r="AC50" s="98">
        <v>13.060470689374988</v>
      </c>
      <c r="AD50" s="98">
        <v>13.068447668451142</v>
      </c>
      <c r="AE50" s="98">
        <v>13.032887220003417</v>
      </c>
      <c r="AF50" s="98">
        <v>14.22965186546379</v>
      </c>
      <c r="AG50" s="98">
        <v>15.477242142828157</v>
      </c>
      <c r="AH50" s="98">
        <v>15.558416551061693</v>
      </c>
    </row>
    <row r="51" spans="1:34" x14ac:dyDescent="0.3">
      <c r="A51" s="96" t="s">
        <v>83</v>
      </c>
      <c r="B51" s="96" t="s">
        <v>106</v>
      </c>
      <c r="C51" s="96" t="s">
        <v>51</v>
      </c>
      <c r="D51" s="96" t="s">
        <v>7</v>
      </c>
      <c r="E51" s="98">
        <v>13.18187468448996</v>
      </c>
      <c r="F51" s="98">
        <v>11.997064931299992</v>
      </c>
      <c r="G51" s="98">
        <v>13.968265598557887</v>
      </c>
      <c r="H51" s="98">
        <v>14.236631951268111</v>
      </c>
      <c r="I51" s="98">
        <v>14.326106520316531</v>
      </c>
      <c r="J51" s="98">
        <v>14.04751301136065</v>
      </c>
      <c r="K51" s="98">
        <v>14.074804071562921</v>
      </c>
      <c r="L51" s="98">
        <v>13.628712500206905</v>
      </c>
      <c r="M51" s="98">
        <v>13.165769636652783</v>
      </c>
      <c r="N51" s="98">
        <v>11.805345150089739</v>
      </c>
      <c r="O51" s="98">
        <v>11.262289014117576</v>
      </c>
      <c r="P51" s="98">
        <v>10.901476863337178</v>
      </c>
      <c r="Q51" s="98">
        <v>10.083472590628265</v>
      </c>
      <c r="R51" s="98">
        <v>9.2763346853033184</v>
      </c>
      <c r="S51" s="98">
        <v>8.1887665926663118</v>
      </c>
      <c r="T51" s="98">
        <v>8.0047975100508939</v>
      </c>
      <c r="U51" s="98">
        <v>7.726057109196347</v>
      </c>
      <c r="V51" s="98">
        <v>11.183206562231675</v>
      </c>
      <c r="W51" s="98">
        <v>11.010181849166148</v>
      </c>
      <c r="X51" s="98">
        <v>12.194009685005675</v>
      </c>
      <c r="Y51" s="98">
        <v>12.618973579611589</v>
      </c>
      <c r="Z51" s="98">
        <v>12.241364272109866</v>
      </c>
      <c r="AA51" s="98">
        <v>11.597400279654433</v>
      </c>
      <c r="AB51" s="98">
        <v>12.445281859955971</v>
      </c>
      <c r="AC51" s="98">
        <v>13.060470689374988</v>
      </c>
      <c r="AD51" s="98">
        <v>13.068447668451142</v>
      </c>
      <c r="AE51" s="98">
        <v>13.032887220003417</v>
      </c>
      <c r="AF51" s="98">
        <v>14.22965186546379</v>
      </c>
      <c r="AG51" s="98">
        <v>15.477242142828157</v>
      </c>
      <c r="AH51" s="98">
        <v>15.558416551061693</v>
      </c>
    </row>
    <row r="52" spans="1:34" x14ac:dyDescent="0.3">
      <c r="A52" s="96" t="s">
        <v>83</v>
      </c>
      <c r="B52" s="96" t="s">
        <v>107</v>
      </c>
      <c r="C52" s="96" t="s">
        <v>51</v>
      </c>
      <c r="D52" s="96" t="s">
        <v>10</v>
      </c>
      <c r="E52" s="98">
        <v>13.18187468448996</v>
      </c>
      <c r="F52" s="98">
        <v>11.997064931299992</v>
      </c>
      <c r="G52" s="98">
        <v>13.968265598557887</v>
      </c>
      <c r="H52" s="98">
        <v>14.236631951268111</v>
      </c>
      <c r="I52" s="98">
        <v>14.326106520316531</v>
      </c>
      <c r="J52" s="98">
        <v>14.04751301136065</v>
      </c>
      <c r="K52" s="98">
        <v>14.074804071562921</v>
      </c>
      <c r="L52" s="98">
        <v>13.628712500206905</v>
      </c>
      <c r="M52" s="98">
        <v>13.165769636652783</v>
      </c>
      <c r="N52" s="98">
        <v>11.805345150089739</v>
      </c>
      <c r="O52" s="98">
        <v>11.262289014117576</v>
      </c>
      <c r="P52" s="98">
        <v>10.901476863337178</v>
      </c>
      <c r="Q52" s="98">
        <v>10.083472590628265</v>
      </c>
      <c r="R52" s="98">
        <v>9.2763346853033184</v>
      </c>
      <c r="S52" s="98">
        <v>8.1887665926663118</v>
      </c>
      <c r="T52" s="98">
        <v>8.0047975100508939</v>
      </c>
      <c r="U52" s="98">
        <v>7.726057109196347</v>
      </c>
      <c r="V52" s="98">
        <v>11.183206562231675</v>
      </c>
      <c r="W52" s="98">
        <v>11.010181849166148</v>
      </c>
      <c r="X52" s="98">
        <v>12.194009685005675</v>
      </c>
      <c r="Y52" s="98">
        <v>12.618973579611589</v>
      </c>
      <c r="Z52" s="98">
        <v>12.241364272109866</v>
      </c>
      <c r="AA52" s="98">
        <v>11.597400279654433</v>
      </c>
      <c r="AB52" s="98">
        <v>12.445281859955971</v>
      </c>
      <c r="AC52" s="98">
        <v>13.060470689374988</v>
      </c>
      <c r="AD52" s="98">
        <v>13.068447668451142</v>
      </c>
      <c r="AE52" s="98">
        <v>13.032887220003417</v>
      </c>
      <c r="AF52" s="98">
        <v>14.22965186546379</v>
      </c>
      <c r="AG52" s="98">
        <v>15.477242142828157</v>
      </c>
      <c r="AH52" s="98">
        <v>15.558416551061693</v>
      </c>
    </row>
    <row r="53" spans="1:34" x14ac:dyDescent="0.3">
      <c r="A53" s="96" t="s">
        <v>83</v>
      </c>
      <c r="B53" s="96" t="s">
        <v>108</v>
      </c>
      <c r="C53" s="96" t="s">
        <v>51</v>
      </c>
      <c r="D53" s="96" t="s">
        <v>3</v>
      </c>
      <c r="E53" s="98">
        <v>13.18187468448996</v>
      </c>
      <c r="F53" s="98">
        <v>11.997064931299992</v>
      </c>
      <c r="G53" s="98">
        <v>13.968265598557887</v>
      </c>
      <c r="H53" s="98">
        <v>14.236631951268111</v>
      </c>
      <c r="I53" s="98">
        <v>14.326106520316531</v>
      </c>
      <c r="J53" s="98">
        <v>14.04751301136065</v>
      </c>
      <c r="K53" s="98">
        <v>14.074804071562921</v>
      </c>
      <c r="L53" s="98">
        <v>13.628712500206905</v>
      </c>
      <c r="M53" s="98">
        <v>13.165769636652783</v>
      </c>
      <c r="N53" s="98">
        <v>11.805345150089739</v>
      </c>
      <c r="O53" s="98">
        <v>11.262289014117576</v>
      </c>
      <c r="P53" s="98">
        <v>10.901476863337178</v>
      </c>
      <c r="Q53" s="98">
        <v>10.083472590628265</v>
      </c>
      <c r="R53" s="98">
        <v>9.2763346853033184</v>
      </c>
      <c r="S53" s="98">
        <v>8.1887665926663118</v>
      </c>
      <c r="T53" s="98">
        <v>8.0047975100508939</v>
      </c>
      <c r="U53" s="98">
        <v>7.726057109196347</v>
      </c>
      <c r="V53" s="98">
        <v>11.183206562231675</v>
      </c>
      <c r="W53" s="98">
        <v>11.010181849166148</v>
      </c>
      <c r="X53" s="98">
        <v>12.194009685005675</v>
      </c>
      <c r="Y53" s="98">
        <v>12.618973579611589</v>
      </c>
      <c r="Z53" s="98">
        <v>12.241364272109866</v>
      </c>
      <c r="AA53" s="98">
        <v>11.597400279654433</v>
      </c>
      <c r="AB53" s="98">
        <v>12.445281859955971</v>
      </c>
      <c r="AC53" s="98">
        <v>13.060470689374988</v>
      </c>
      <c r="AD53" s="98">
        <v>13.068447668451142</v>
      </c>
      <c r="AE53" s="98">
        <v>13.032887220003417</v>
      </c>
      <c r="AF53" s="98">
        <v>14.22965186546379</v>
      </c>
      <c r="AG53" s="98">
        <v>15.477242142828157</v>
      </c>
      <c r="AH53" s="98">
        <v>15.558416551061693</v>
      </c>
    </row>
    <row r="54" spans="1:34" x14ac:dyDescent="0.3">
      <c r="A54" s="96" t="s">
        <v>83</v>
      </c>
      <c r="B54" s="96" t="s">
        <v>109</v>
      </c>
      <c r="C54" s="96" t="s">
        <v>51</v>
      </c>
      <c r="D54" s="96" t="s">
        <v>6</v>
      </c>
      <c r="E54" s="98">
        <v>13.18187468448996</v>
      </c>
      <c r="F54" s="98">
        <v>11.997064931299992</v>
      </c>
      <c r="G54" s="98">
        <v>13.968265598557887</v>
      </c>
      <c r="H54" s="98">
        <v>14.236631951268111</v>
      </c>
      <c r="I54" s="98">
        <v>14.326106520316531</v>
      </c>
      <c r="J54" s="98">
        <v>14.04751301136065</v>
      </c>
      <c r="K54" s="98">
        <v>14.074804071562921</v>
      </c>
      <c r="L54" s="98">
        <v>13.628712500206905</v>
      </c>
      <c r="M54" s="98">
        <v>13.165769636652783</v>
      </c>
      <c r="N54" s="98">
        <v>11.805345150089739</v>
      </c>
      <c r="O54" s="98">
        <v>11.262289014117576</v>
      </c>
      <c r="P54" s="98">
        <v>10.901476863337178</v>
      </c>
      <c r="Q54" s="98">
        <v>10.083472590628265</v>
      </c>
      <c r="R54" s="98">
        <v>9.2763346853033184</v>
      </c>
      <c r="S54" s="98">
        <v>8.1887665926663118</v>
      </c>
      <c r="T54" s="98">
        <v>8.0047975100508939</v>
      </c>
      <c r="U54" s="98">
        <v>7.726057109196347</v>
      </c>
      <c r="V54" s="98">
        <v>11.183206562231675</v>
      </c>
      <c r="W54" s="98">
        <v>11.010181849166148</v>
      </c>
      <c r="X54" s="98">
        <v>12.194009685005675</v>
      </c>
      <c r="Y54" s="98">
        <v>12.618973579611589</v>
      </c>
      <c r="Z54" s="98">
        <v>12.241364272109866</v>
      </c>
      <c r="AA54" s="98">
        <v>11.597400279654433</v>
      </c>
      <c r="AB54" s="98">
        <v>12.445281859955971</v>
      </c>
      <c r="AC54" s="98">
        <v>13.060470689374988</v>
      </c>
      <c r="AD54" s="98">
        <v>13.068447668451142</v>
      </c>
      <c r="AE54" s="98">
        <v>13.032887220003417</v>
      </c>
      <c r="AF54" s="98">
        <v>14.22965186546379</v>
      </c>
      <c r="AG54" s="98">
        <v>15.477242142828157</v>
      </c>
      <c r="AH54" s="98">
        <v>15.558416551061693</v>
      </c>
    </row>
    <row r="55" spans="1:34" x14ac:dyDescent="0.3">
      <c r="A55" s="96" t="s">
        <v>83</v>
      </c>
      <c r="B55" s="96" t="s">
        <v>110</v>
      </c>
      <c r="C55" s="96" t="s">
        <v>51</v>
      </c>
      <c r="D55" s="96" t="s">
        <v>4</v>
      </c>
      <c r="E55" s="98">
        <v>13.408604827749899</v>
      </c>
      <c r="F55" s="98">
        <v>12.117449083359215</v>
      </c>
      <c r="G55" s="98">
        <v>14.618516754649244</v>
      </c>
      <c r="H55" s="98">
        <v>15.825001376171439</v>
      </c>
      <c r="I55" s="98">
        <v>16.003374479764869</v>
      </c>
      <c r="J55" s="98">
        <v>15.931759330286077</v>
      </c>
      <c r="K55" s="98">
        <v>15.697783692346668</v>
      </c>
      <c r="L55" s="98">
        <v>15.123910872249084</v>
      </c>
      <c r="M55" s="98">
        <v>14.624151690904503</v>
      </c>
      <c r="N55" s="98">
        <v>13.301031052169439</v>
      </c>
      <c r="O55" s="98">
        <v>12.788702529509008</v>
      </c>
      <c r="P55" s="98">
        <v>12.283830319653369</v>
      </c>
      <c r="Q55" s="98">
        <v>11.296417490800424</v>
      </c>
      <c r="R55" s="98">
        <v>10.323333445700859</v>
      </c>
      <c r="S55" s="98">
        <v>9.0485508292519121</v>
      </c>
      <c r="T55" s="98">
        <v>9.1721734829571666</v>
      </c>
      <c r="U55" s="98">
        <v>8.8108392009856615</v>
      </c>
      <c r="V55" s="98">
        <v>11.711729843075005</v>
      </c>
      <c r="W55" s="98">
        <v>11.43959719927469</v>
      </c>
      <c r="X55" s="98">
        <v>14.209683004163715</v>
      </c>
      <c r="Y55" s="98">
        <v>13.328255456133739</v>
      </c>
      <c r="Z55" s="98">
        <v>12.636948432361422</v>
      </c>
      <c r="AA55" s="98">
        <v>11.989172815380632</v>
      </c>
      <c r="AB55" s="98">
        <v>13.040424520877849</v>
      </c>
      <c r="AC55" s="98">
        <v>13.506753066493557</v>
      </c>
      <c r="AD55" s="98">
        <v>13.489556278375279</v>
      </c>
      <c r="AE55" s="98">
        <v>13.448607472214972</v>
      </c>
      <c r="AF55" s="98">
        <v>14.650724174570399</v>
      </c>
      <c r="AG55" s="98">
        <v>15.905113574891502</v>
      </c>
      <c r="AH55" s="98">
        <v>15.995405075093377</v>
      </c>
    </row>
    <row r="56" spans="1:34" x14ac:dyDescent="0.3">
      <c r="A56" s="96" t="s">
        <v>83</v>
      </c>
      <c r="B56" s="96" t="s">
        <v>111</v>
      </c>
      <c r="C56" s="96" t="s">
        <v>51</v>
      </c>
      <c r="D56" s="96" t="s">
        <v>11</v>
      </c>
      <c r="E56" s="98">
        <v>13.408604827749899</v>
      </c>
      <c r="F56" s="98">
        <v>12.117449083359215</v>
      </c>
      <c r="G56" s="98">
        <v>14.618516754649244</v>
      </c>
      <c r="H56" s="98">
        <v>15.825001376171439</v>
      </c>
      <c r="I56" s="98">
        <v>16.003374479764869</v>
      </c>
      <c r="J56" s="98">
        <v>15.931759330286077</v>
      </c>
      <c r="K56" s="98">
        <v>15.697783692346668</v>
      </c>
      <c r="L56" s="98">
        <v>15.123910872249084</v>
      </c>
      <c r="M56" s="98">
        <v>14.624151690904503</v>
      </c>
      <c r="N56" s="98">
        <v>13.301031052169439</v>
      </c>
      <c r="O56" s="98">
        <v>12.788702529509008</v>
      </c>
      <c r="P56" s="98">
        <v>12.283830319653369</v>
      </c>
      <c r="Q56" s="98">
        <v>11.296417490800424</v>
      </c>
      <c r="R56" s="98">
        <v>10.323333445700859</v>
      </c>
      <c r="S56" s="98">
        <v>9.0485508292519121</v>
      </c>
      <c r="T56" s="98">
        <v>9.1721734829571666</v>
      </c>
      <c r="U56" s="98">
        <v>8.8108392009856615</v>
      </c>
      <c r="V56" s="98">
        <v>11.711729843075005</v>
      </c>
      <c r="W56" s="98">
        <v>11.43959719927469</v>
      </c>
      <c r="X56" s="98">
        <v>14.209683004163715</v>
      </c>
      <c r="Y56" s="98">
        <v>13.328255456133739</v>
      </c>
      <c r="Z56" s="98">
        <v>12.636948432361422</v>
      </c>
      <c r="AA56" s="98">
        <v>11.989172815380632</v>
      </c>
      <c r="AB56" s="98">
        <v>13.040424520877849</v>
      </c>
      <c r="AC56" s="98">
        <v>13.506753066493557</v>
      </c>
      <c r="AD56" s="98">
        <v>13.489556278375279</v>
      </c>
      <c r="AE56" s="98">
        <v>13.448607472214972</v>
      </c>
      <c r="AF56" s="98">
        <v>14.650724174570399</v>
      </c>
      <c r="AG56" s="98">
        <v>15.905113574891502</v>
      </c>
      <c r="AH56" s="98">
        <v>15.995405075093377</v>
      </c>
    </row>
    <row r="57" spans="1:34" x14ac:dyDescent="0.3">
      <c r="A57" s="96" t="s">
        <v>83</v>
      </c>
      <c r="B57" s="96" t="s">
        <v>112</v>
      </c>
      <c r="C57" s="96" t="s">
        <v>51</v>
      </c>
      <c r="D57" s="96" t="s">
        <v>27</v>
      </c>
      <c r="E57" s="98">
        <v>13.408604827749899</v>
      </c>
      <c r="F57" s="98">
        <v>12.117449083359215</v>
      </c>
      <c r="G57" s="98">
        <v>14.618516754649244</v>
      </c>
      <c r="H57" s="98">
        <v>15.825001376171439</v>
      </c>
      <c r="I57" s="98">
        <v>16.003374479764869</v>
      </c>
      <c r="J57" s="98">
        <v>15.931759330286077</v>
      </c>
      <c r="K57" s="98">
        <v>15.697783692346668</v>
      </c>
      <c r="L57" s="98">
        <v>15.123910872249084</v>
      </c>
      <c r="M57" s="98">
        <v>14.624151690904503</v>
      </c>
      <c r="N57" s="98">
        <v>13.301031052169439</v>
      </c>
      <c r="O57" s="98">
        <v>12.788702529509008</v>
      </c>
      <c r="P57" s="98">
        <v>12.283830319653369</v>
      </c>
      <c r="Q57" s="98">
        <v>11.296417490800424</v>
      </c>
      <c r="R57" s="98">
        <v>10.323333445700859</v>
      </c>
      <c r="S57" s="98">
        <v>9.0485508292519121</v>
      </c>
      <c r="T57" s="98">
        <v>9.1721734829571666</v>
      </c>
      <c r="U57" s="98">
        <v>8.8108392009856615</v>
      </c>
      <c r="V57" s="98">
        <v>11.711729843075005</v>
      </c>
      <c r="W57" s="98">
        <v>11.43959719927469</v>
      </c>
      <c r="X57" s="98">
        <v>14.209683004163715</v>
      </c>
      <c r="Y57" s="98">
        <v>13.328255456133739</v>
      </c>
      <c r="Z57" s="98">
        <v>12.636948432361422</v>
      </c>
      <c r="AA57" s="98">
        <v>11.989172815380632</v>
      </c>
      <c r="AB57" s="98">
        <v>13.040424520877849</v>
      </c>
      <c r="AC57" s="98">
        <v>13.506753066493557</v>
      </c>
      <c r="AD57" s="98">
        <v>13.489556278375279</v>
      </c>
      <c r="AE57" s="98">
        <v>13.448607472214972</v>
      </c>
      <c r="AF57" s="98">
        <v>14.650724174570399</v>
      </c>
      <c r="AG57" s="98">
        <v>15.905113574891502</v>
      </c>
      <c r="AH57" s="98">
        <v>15.995405075093377</v>
      </c>
    </row>
    <row r="58" spans="1:34" x14ac:dyDescent="0.3">
      <c r="A58" s="96" t="s">
        <v>83</v>
      </c>
      <c r="B58" s="96" t="s">
        <v>113</v>
      </c>
      <c r="C58" s="96" t="s">
        <v>51</v>
      </c>
      <c r="D58" s="96" t="s">
        <v>5</v>
      </c>
      <c r="E58" s="98">
        <v>30.26587380183993</v>
      </c>
      <c r="F58" s="98">
        <v>38.74174345348905</v>
      </c>
      <c r="G58" s="98">
        <v>43.973545037195713</v>
      </c>
      <c r="H58" s="98">
        <v>38.917613863699628</v>
      </c>
      <c r="I58" s="98">
        <v>29.340361087425077</v>
      </c>
      <c r="J58" s="98">
        <v>26.648178860256031</v>
      </c>
      <c r="K58" s="98">
        <v>24.858012300562667</v>
      </c>
      <c r="L58" s="98">
        <v>23.476472912903255</v>
      </c>
      <c r="M58" s="98">
        <v>22.197589113811333</v>
      </c>
      <c r="N58" s="98">
        <v>19.753233354049812</v>
      </c>
      <c r="O58" s="98">
        <v>18.981061362444166</v>
      </c>
      <c r="P58" s="98">
        <v>17.881281590680338</v>
      </c>
      <c r="Q58" s="98">
        <v>16.881407374623308</v>
      </c>
      <c r="R58" s="98">
        <v>15.591836921641351</v>
      </c>
      <c r="S58" s="98">
        <v>13.850944358013532</v>
      </c>
      <c r="T58" s="98">
        <v>13.532683235921709</v>
      </c>
      <c r="U58" s="98">
        <v>12.985492377913381</v>
      </c>
      <c r="V58" s="98">
        <v>15.860399894634634</v>
      </c>
      <c r="W58" s="98">
        <v>15.505451032277374</v>
      </c>
      <c r="X58" s="98">
        <v>21.539766207257536</v>
      </c>
      <c r="Y58" s="98">
        <v>21.03571270766632</v>
      </c>
      <c r="Z58" s="98">
        <v>21.016880931654605</v>
      </c>
      <c r="AA58" s="98">
        <v>21.020885147679923</v>
      </c>
      <c r="AB58" s="98">
        <v>21.381012472401881</v>
      </c>
      <c r="AC58" s="98">
        <v>21.474808218359982</v>
      </c>
      <c r="AD58" s="98">
        <v>21.584619411707411</v>
      </c>
      <c r="AE58" s="98">
        <v>21.591920788750887</v>
      </c>
      <c r="AF58" s="98">
        <v>23.333383828151042</v>
      </c>
      <c r="AG58" s="98">
        <v>25.149379011171824</v>
      </c>
      <c r="AH58" s="98">
        <v>25.749479290773255</v>
      </c>
    </row>
    <row r="59" spans="1:34" x14ac:dyDescent="0.3">
      <c r="A59" s="96" t="s">
        <v>83</v>
      </c>
      <c r="B59" s="96" t="s">
        <v>114</v>
      </c>
      <c r="C59" s="96" t="s">
        <v>51</v>
      </c>
      <c r="D59" s="96" t="s">
        <v>28</v>
      </c>
      <c r="E59" s="98">
        <v>20.793658725763372</v>
      </c>
      <c r="F59" s="98">
        <v>12.641702648778413</v>
      </c>
      <c r="G59" s="98">
        <v>14.360658399716165</v>
      </c>
      <c r="H59" s="98">
        <v>14.450725474010081</v>
      </c>
      <c r="I59" s="98">
        <v>15.571256725778005</v>
      </c>
      <c r="J59" s="98">
        <v>16.296199295099104</v>
      </c>
      <c r="K59" s="98">
        <v>16.593232316450667</v>
      </c>
      <c r="L59" s="98">
        <v>18.057912827597548</v>
      </c>
      <c r="M59" s="98">
        <v>16.743753837287773</v>
      </c>
      <c r="N59" s="98">
        <v>15.423038222863202</v>
      </c>
      <c r="O59" s="98">
        <v>14.715682238172157</v>
      </c>
      <c r="P59" s="98">
        <v>13.790709617577479</v>
      </c>
      <c r="Q59" s="98">
        <v>12.943212672499653</v>
      </c>
      <c r="R59" s="98">
        <v>11.944808205529123</v>
      </c>
      <c r="S59" s="98">
        <v>10.645988462408894</v>
      </c>
      <c r="T59" s="98">
        <v>10.554420513826257</v>
      </c>
      <c r="U59" s="98">
        <v>10.152179363587328</v>
      </c>
      <c r="V59" s="98">
        <v>13.476595893167154</v>
      </c>
      <c r="W59" s="98">
        <v>13.212950228764907</v>
      </c>
      <c r="X59" s="98">
        <v>14.332354753273171</v>
      </c>
      <c r="Y59" s="98">
        <v>17.283488291022113</v>
      </c>
      <c r="Z59" s="98">
        <v>17.23121824980511</v>
      </c>
      <c r="AA59" s="98">
        <v>17.132912969558554</v>
      </c>
      <c r="AB59" s="98">
        <v>17.3418052563026</v>
      </c>
      <c r="AC59" s="98">
        <v>17.391648372125928</v>
      </c>
      <c r="AD59" s="98">
        <v>17.362556205804882</v>
      </c>
      <c r="AE59" s="98">
        <v>17.336374581627403</v>
      </c>
      <c r="AF59" s="98">
        <v>18.83711528773231</v>
      </c>
      <c r="AG59" s="98">
        <v>20.401793160394291</v>
      </c>
      <c r="AH59" s="98">
        <v>20.703269201320001</v>
      </c>
    </row>
    <row r="60" spans="1:34" x14ac:dyDescent="0.3">
      <c r="A60" s="96" t="s">
        <v>83</v>
      </c>
      <c r="B60" s="96" t="s">
        <v>115</v>
      </c>
      <c r="C60" s="96" t="s">
        <v>47</v>
      </c>
      <c r="D60" s="96" t="s">
        <v>8</v>
      </c>
      <c r="E60" s="98">
        <v>3.2630532493460436</v>
      </c>
      <c r="F60" s="98">
        <v>3.0893519330297932</v>
      </c>
      <c r="G60" s="98">
        <v>4.6107588582915451</v>
      </c>
      <c r="H60" s="98">
        <v>4.9236919588053256</v>
      </c>
      <c r="I60" s="98">
        <v>5.5250289202207199</v>
      </c>
      <c r="J60" s="98">
        <v>6.1091477980170641</v>
      </c>
      <c r="K60" s="98">
        <v>6.6467552536168952</v>
      </c>
      <c r="L60" s="98">
        <v>7.0027104006031422</v>
      </c>
      <c r="M60" s="98">
        <v>7.3279314708000882</v>
      </c>
      <c r="N60" s="98">
        <v>7.2218287296366723</v>
      </c>
      <c r="O60" s="98">
        <v>7.4430059405649764</v>
      </c>
      <c r="P60" s="98">
        <v>8.2118065998147181</v>
      </c>
      <c r="Q60" s="98">
        <v>8.2595067085716405</v>
      </c>
      <c r="R60" s="98">
        <v>8.463565071566121</v>
      </c>
      <c r="S60" s="98">
        <v>8.5243042475201136</v>
      </c>
      <c r="T60" s="98">
        <v>8.9068798467567589</v>
      </c>
      <c r="U60" s="98">
        <v>9.1640797242307439</v>
      </c>
      <c r="V60" s="98">
        <v>14.672808091748793</v>
      </c>
      <c r="W60" s="98">
        <v>15.434094254809914</v>
      </c>
      <c r="X60" s="98">
        <v>18.128867645863032</v>
      </c>
      <c r="Y60" s="98">
        <v>19.392015053301979</v>
      </c>
      <c r="Z60" s="98">
        <v>19.0361964478139</v>
      </c>
      <c r="AA60" s="98">
        <v>18.953410528421067</v>
      </c>
      <c r="AB60" s="98">
        <v>20.251191065856609</v>
      </c>
      <c r="AC60" s="98">
        <v>21.408261514665057</v>
      </c>
      <c r="AD60" s="98">
        <v>21.508740862843567</v>
      </c>
      <c r="AE60" s="98">
        <v>21.86289847088506</v>
      </c>
      <c r="AF60" s="98">
        <v>24.004077349289076</v>
      </c>
      <c r="AG60" s="98">
        <v>26.242937409933681</v>
      </c>
      <c r="AH60" s="98">
        <v>26.382605230379252</v>
      </c>
    </row>
    <row r="61" spans="1:34" x14ac:dyDescent="0.3">
      <c r="A61" s="96" t="s">
        <v>83</v>
      </c>
      <c r="B61" s="96" t="s">
        <v>116</v>
      </c>
      <c r="C61" s="96" t="s">
        <v>47</v>
      </c>
      <c r="D61" s="96" t="s">
        <v>9</v>
      </c>
      <c r="E61" s="98">
        <v>3.2630532493460436</v>
      </c>
      <c r="F61" s="98">
        <v>3.0893519330297932</v>
      </c>
      <c r="G61" s="98">
        <v>4.6107588582915451</v>
      </c>
      <c r="H61" s="98">
        <v>4.9236919588053256</v>
      </c>
      <c r="I61" s="98">
        <v>5.5250289202207199</v>
      </c>
      <c r="J61" s="98">
        <v>6.1091477980170641</v>
      </c>
      <c r="K61" s="98">
        <v>6.6467552536168952</v>
      </c>
      <c r="L61" s="98">
        <v>7.0027104006031422</v>
      </c>
      <c r="M61" s="98">
        <v>7.3279314708000882</v>
      </c>
      <c r="N61" s="98">
        <v>7.2218287296366723</v>
      </c>
      <c r="O61" s="98">
        <v>7.4430059405649764</v>
      </c>
      <c r="P61" s="98">
        <v>8.2118065998147181</v>
      </c>
      <c r="Q61" s="98">
        <v>8.2595067085716405</v>
      </c>
      <c r="R61" s="98">
        <v>8.463565071566121</v>
      </c>
      <c r="S61" s="98">
        <v>8.5243042475201136</v>
      </c>
      <c r="T61" s="98">
        <v>8.9068798467567589</v>
      </c>
      <c r="U61" s="98">
        <v>9.1640797242307439</v>
      </c>
      <c r="V61" s="98">
        <v>14.672808091748793</v>
      </c>
      <c r="W61" s="98">
        <v>15.434094254809914</v>
      </c>
      <c r="X61" s="98">
        <v>18.128867645863032</v>
      </c>
      <c r="Y61" s="98">
        <v>19.392015053301979</v>
      </c>
      <c r="Z61" s="98">
        <v>19.0361964478139</v>
      </c>
      <c r="AA61" s="98">
        <v>18.953410528421067</v>
      </c>
      <c r="AB61" s="98">
        <v>20.251191065856609</v>
      </c>
      <c r="AC61" s="98">
        <v>21.408261514665057</v>
      </c>
      <c r="AD61" s="98">
        <v>21.508740862843567</v>
      </c>
      <c r="AE61" s="98">
        <v>21.86289847088506</v>
      </c>
      <c r="AF61" s="98">
        <v>24.004077349289076</v>
      </c>
      <c r="AG61" s="98">
        <v>26.242937409933681</v>
      </c>
      <c r="AH61" s="98">
        <v>26.382605230379252</v>
      </c>
    </row>
    <row r="62" spans="1:34" x14ac:dyDescent="0.3">
      <c r="A62" s="96" t="s">
        <v>83</v>
      </c>
      <c r="B62" s="96" t="s">
        <v>117</v>
      </c>
      <c r="C62" s="96" t="s">
        <v>47</v>
      </c>
      <c r="D62" s="96" t="s">
        <v>7</v>
      </c>
      <c r="E62" s="98">
        <v>3.2630532493460436</v>
      </c>
      <c r="F62" s="98">
        <v>3.0893519330297932</v>
      </c>
      <c r="G62" s="98">
        <v>4.6107588582915451</v>
      </c>
      <c r="H62" s="98">
        <v>4.9236919588053256</v>
      </c>
      <c r="I62" s="98">
        <v>5.5250289202207199</v>
      </c>
      <c r="J62" s="98">
        <v>6.1091477980170641</v>
      </c>
      <c r="K62" s="98">
        <v>6.6467552536168952</v>
      </c>
      <c r="L62" s="98">
        <v>7.0027104006031422</v>
      </c>
      <c r="M62" s="98">
        <v>7.3279314708000882</v>
      </c>
      <c r="N62" s="98">
        <v>7.2218287296366723</v>
      </c>
      <c r="O62" s="98">
        <v>7.4430059405649764</v>
      </c>
      <c r="P62" s="98">
        <v>8.2118065998147181</v>
      </c>
      <c r="Q62" s="98">
        <v>8.2595067085716405</v>
      </c>
      <c r="R62" s="98">
        <v>8.463565071566121</v>
      </c>
      <c r="S62" s="98">
        <v>8.5243042475201136</v>
      </c>
      <c r="T62" s="98">
        <v>8.9068798467567589</v>
      </c>
      <c r="U62" s="98">
        <v>9.1640797242307439</v>
      </c>
      <c r="V62" s="98">
        <v>14.672808091748793</v>
      </c>
      <c r="W62" s="98">
        <v>15.434094254809914</v>
      </c>
      <c r="X62" s="98">
        <v>18.128867645863032</v>
      </c>
      <c r="Y62" s="98">
        <v>19.392015053301979</v>
      </c>
      <c r="Z62" s="98">
        <v>19.0361964478139</v>
      </c>
      <c r="AA62" s="98">
        <v>18.953410528421067</v>
      </c>
      <c r="AB62" s="98">
        <v>20.251191065856609</v>
      </c>
      <c r="AC62" s="98">
        <v>21.408261514665057</v>
      </c>
      <c r="AD62" s="98">
        <v>21.508740862843567</v>
      </c>
      <c r="AE62" s="98">
        <v>21.86289847088506</v>
      </c>
      <c r="AF62" s="98">
        <v>24.004077349289076</v>
      </c>
      <c r="AG62" s="98">
        <v>26.242937409933681</v>
      </c>
      <c r="AH62" s="98">
        <v>26.382605230379252</v>
      </c>
    </row>
    <row r="63" spans="1:34" x14ac:dyDescent="0.3">
      <c r="A63" s="96" t="s">
        <v>83</v>
      </c>
      <c r="B63" s="96" t="s">
        <v>118</v>
      </c>
      <c r="C63" s="96" t="s">
        <v>47</v>
      </c>
      <c r="D63" s="96" t="s">
        <v>10</v>
      </c>
      <c r="E63" s="98">
        <v>3.2630532493460436</v>
      </c>
      <c r="F63" s="98">
        <v>3.0893519330297932</v>
      </c>
      <c r="G63" s="98">
        <v>4.6107588582915451</v>
      </c>
      <c r="H63" s="98">
        <v>4.9236919588053256</v>
      </c>
      <c r="I63" s="98">
        <v>5.5250289202207199</v>
      </c>
      <c r="J63" s="98">
        <v>6.1091477980170641</v>
      </c>
      <c r="K63" s="98">
        <v>6.6467552536168952</v>
      </c>
      <c r="L63" s="98">
        <v>7.0027104006031422</v>
      </c>
      <c r="M63" s="98">
        <v>7.3279314708000882</v>
      </c>
      <c r="N63" s="98">
        <v>7.2218287296366723</v>
      </c>
      <c r="O63" s="98">
        <v>7.4430059405649764</v>
      </c>
      <c r="P63" s="98">
        <v>8.2118065998147181</v>
      </c>
      <c r="Q63" s="98">
        <v>8.2595067085716405</v>
      </c>
      <c r="R63" s="98">
        <v>8.463565071566121</v>
      </c>
      <c r="S63" s="98">
        <v>8.5243042475201136</v>
      </c>
      <c r="T63" s="98">
        <v>8.9068798467567589</v>
      </c>
      <c r="U63" s="98">
        <v>9.1640797242307439</v>
      </c>
      <c r="V63" s="98">
        <v>14.672808091748793</v>
      </c>
      <c r="W63" s="98">
        <v>15.434094254809914</v>
      </c>
      <c r="X63" s="98">
        <v>18.128867645863032</v>
      </c>
      <c r="Y63" s="98">
        <v>19.392015053301979</v>
      </c>
      <c r="Z63" s="98">
        <v>19.0361964478139</v>
      </c>
      <c r="AA63" s="98">
        <v>18.953410528421067</v>
      </c>
      <c r="AB63" s="98">
        <v>20.251191065856609</v>
      </c>
      <c r="AC63" s="98">
        <v>21.408261514665057</v>
      </c>
      <c r="AD63" s="98">
        <v>21.508740862843567</v>
      </c>
      <c r="AE63" s="98">
        <v>21.86289847088506</v>
      </c>
      <c r="AF63" s="98">
        <v>24.004077349289076</v>
      </c>
      <c r="AG63" s="98">
        <v>26.242937409933681</v>
      </c>
      <c r="AH63" s="98">
        <v>26.382605230379252</v>
      </c>
    </row>
    <row r="64" spans="1:34" x14ac:dyDescent="0.3">
      <c r="A64" s="96" t="s">
        <v>83</v>
      </c>
      <c r="B64" s="96" t="s">
        <v>119</v>
      </c>
      <c r="C64" s="96" t="s">
        <v>47</v>
      </c>
      <c r="D64" s="96" t="s">
        <v>3</v>
      </c>
      <c r="E64" s="98">
        <v>3.2630532493460436</v>
      </c>
      <c r="F64" s="98">
        <v>3.0893519330297932</v>
      </c>
      <c r="G64" s="98">
        <v>4.6107588582915451</v>
      </c>
      <c r="H64" s="98">
        <v>4.9236919588053256</v>
      </c>
      <c r="I64" s="98">
        <v>5.5250289202207199</v>
      </c>
      <c r="J64" s="98">
        <v>6.1091477980170641</v>
      </c>
      <c r="K64" s="98">
        <v>6.6467552536168952</v>
      </c>
      <c r="L64" s="98">
        <v>7.0027104006031422</v>
      </c>
      <c r="M64" s="98">
        <v>7.3279314708000882</v>
      </c>
      <c r="N64" s="98">
        <v>7.2218287296366723</v>
      </c>
      <c r="O64" s="98">
        <v>7.4430059405649764</v>
      </c>
      <c r="P64" s="98">
        <v>8.2118065998147181</v>
      </c>
      <c r="Q64" s="98">
        <v>8.2595067085716405</v>
      </c>
      <c r="R64" s="98">
        <v>8.463565071566121</v>
      </c>
      <c r="S64" s="98">
        <v>8.5243042475201136</v>
      </c>
      <c r="T64" s="98">
        <v>8.9068798467567589</v>
      </c>
      <c r="U64" s="98">
        <v>9.1640797242307439</v>
      </c>
      <c r="V64" s="98">
        <v>14.672808091748793</v>
      </c>
      <c r="W64" s="98">
        <v>15.434094254809914</v>
      </c>
      <c r="X64" s="98">
        <v>18.128867645863032</v>
      </c>
      <c r="Y64" s="98">
        <v>19.392015053301979</v>
      </c>
      <c r="Z64" s="98">
        <v>19.0361964478139</v>
      </c>
      <c r="AA64" s="98">
        <v>18.953410528421067</v>
      </c>
      <c r="AB64" s="98">
        <v>20.251191065856609</v>
      </c>
      <c r="AC64" s="98">
        <v>21.408261514665057</v>
      </c>
      <c r="AD64" s="98">
        <v>21.508740862843567</v>
      </c>
      <c r="AE64" s="98">
        <v>21.86289847088506</v>
      </c>
      <c r="AF64" s="98">
        <v>24.004077349289076</v>
      </c>
      <c r="AG64" s="98">
        <v>26.242937409933681</v>
      </c>
      <c r="AH64" s="98">
        <v>26.382605230379252</v>
      </c>
    </row>
    <row r="65" spans="1:34" x14ac:dyDescent="0.3">
      <c r="A65" s="96" t="s">
        <v>83</v>
      </c>
      <c r="B65" s="96" t="s">
        <v>120</v>
      </c>
      <c r="C65" s="96" t="s">
        <v>47</v>
      </c>
      <c r="D65" s="96" t="s">
        <v>6</v>
      </c>
      <c r="E65" s="98">
        <v>3.2630532493460436</v>
      </c>
      <c r="F65" s="98">
        <v>3.0893519330297932</v>
      </c>
      <c r="G65" s="98">
        <v>4.6107588582915451</v>
      </c>
      <c r="H65" s="98">
        <v>4.9236919588053256</v>
      </c>
      <c r="I65" s="98">
        <v>5.5250289202207199</v>
      </c>
      <c r="J65" s="98">
        <v>6.1091477980170641</v>
      </c>
      <c r="K65" s="98">
        <v>6.6467552536168952</v>
      </c>
      <c r="L65" s="98">
        <v>7.0027104006031422</v>
      </c>
      <c r="M65" s="98">
        <v>7.3279314708000882</v>
      </c>
      <c r="N65" s="98">
        <v>7.2218287296366723</v>
      </c>
      <c r="O65" s="98">
        <v>7.4430059405649764</v>
      </c>
      <c r="P65" s="98">
        <v>8.2118065998147181</v>
      </c>
      <c r="Q65" s="98">
        <v>8.2595067085716405</v>
      </c>
      <c r="R65" s="98">
        <v>8.463565071566121</v>
      </c>
      <c r="S65" s="98">
        <v>8.5243042475201136</v>
      </c>
      <c r="T65" s="98">
        <v>8.9068798467567589</v>
      </c>
      <c r="U65" s="98">
        <v>9.1640797242307439</v>
      </c>
      <c r="V65" s="98">
        <v>14.672808091748793</v>
      </c>
      <c r="W65" s="98">
        <v>15.434094254809914</v>
      </c>
      <c r="X65" s="98">
        <v>18.128867645863032</v>
      </c>
      <c r="Y65" s="98">
        <v>19.392015053301979</v>
      </c>
      <c r="Z65" s="98">
        <v>19.0361964478139</v>
      </c>
      <c r="AA65" s="98">
        <v>18.953410528421067</v>
      </c>
      <c r="AB65" s="98">
        <v>20.251191065856609</v>
      </c>
      <c r="AC65" s="98">
        <v>21.408261514665057</v>
      </c>
      <c r="AD65" s="98">
        <v>21.508740862843567</v>
      </c>
      <c r="AE65" s="98">
        <v>21.86289847088506</v>
      </c>
      <c r="AF65" s="98">
        <v>24.004077349289076</v>
      </c>
      <c r="AG65" s="98">
        <v>26.242937409933681</v>
      </c>
      <c r="AH65" s="98">
        <v>26.382605230379252</v>
      </c>
    </row>
    <row r="66" spans="1:34" x14ac:dyDescent="0.3">
      <c r="A66" s="96" t="s">
        <v>83</v>
      </c>
      <c r="B66" s="96" t="s">
        <v>121</v>
      </c>
      <c r="C66" s="96" t="s">
        <v>47</v>
      </c>
      <c r="D66" s="96" t="s">
        <v>4</v>
      </c>
      <c r="E66" s="98">
        <v>3.3191782352374308</v>
      </c>
      <c r="F66" s="98">
        <v>3.1203519330297942</v>
      </c>
      <c r="G66" s="98">
        <v>4.8253990551655273</v>
      </c>
      <c r="H66" s="98">
        <v>5.4730242581707067</v>
      </c>
      <c r="I66" s="98">
        <v>6.1718867367370036</v>
      </c>
      <c r="J66" s="98">
        <v>6.9285910148253107</v>
      </c>
      <c r="K66" s="98">
        <v>7.4131991960056132</v>
      </c>
      <c r="L66" s="98">
        <v>7.7709738143853109</v>
      </c>
      <c r="M66" s="98">
        <v>8.1396518674603389</v>
      </c>
      <c r="N66" s="98">
        <v>8.1368030299068863</v>
      </c>
      <c r="O66" s="98">
        <v>8.4517799871709247</v>
      </c>
      <c r="P66" s="98">
        <v>9.2530984704630583</v>
      </c>
      <c r="Q66" s="98">
        <v>9.2530460324560497</v>
      </c>
      <c r="R66" s="98">
        <v>9.4188283775045001</v>
      </c>
      <c r="S66" s="98">
        <v>9.4193184522773041</v>
      </c>
      <c r="T66" s="98">
        <v>10.205810583432051</v>
      </c>
      <c r="U66" s="98">
        <v>10.450768319988372</v>
      </c>
      <c r="V66" s="98">
        <v>15.366251481950112</v>
      </c>
      <c r="W66" s="98">
        <v>16.036049524834755</v>
      </c>
      <c r="X66" s="98">
        <v>21.125574698281337</v>
      </c>
      <c r="Y66" s="98">
        <v>20.481993151740564</v>
      </c>
      <c r="Z66" s="98">
        <v>19.651358093101187</v>
      </c>
      <c r="AA66" s="98">
        <v>19.593676926434913</v>
      </c>
      <c r="AB66" s="98">
        <v>21.219618127082988</v>
      </c>
      <c r="AC66" s="98">
        <v>22.13979179913736</v>
      </c>
      <c r="AD66" s="98">
        <v>22.201823637153204</v>
      </c>
      <c r="AE66" s="98">
        <v>22.560276535543061</v>
      </c>
      <c r="AF66" s="98">
        <v>24.714386524313255</v>
      </c>
      <c r="AG66" s="98">
        <v>26.968428625197777</v>
      </c>
      <c r="AH66" s="98">
        <v>27.123612239794184</v>
      </c>
    </row>
    <row r="67" spans="1:34" x14ac:dyDescent="0.3">
      <c r="A67" s="96" t="s">
        <v>83</v>
      </c>
      <c r="B67" s="96" t="s">
        <v>122</v>
      </c>
      <c r="C67" s="96" t="s">
        <v>47</v>
      </c>
      <c r="D67" s="96" t="s">
        <v>11</v>
      </c>
      <c r="E67" s="98">
        <v>3.3191782352374308</v>
      </c>
      <c r="F67" s="98">
        <v>3.1203519330297942</v>
      </c>
      <c r="G67" s="98">
        <v>4.8253990551655273</v>
      </c>
      <c r="H67" s="98">
        <v>5.4730242581707067</v>
      </c>
      <c r="I67" s="98">
        <v>6.1718867367370036</v>
      </c>
      <c r="J67" s="98">
        <v>6.9285910148253107</v>
      </c>
      <c r="K67" s="98">
        <v>7.4131991960056132</v>
      </c>
      <c r="L67" s="98">
        <v>7.7709738143853109</v>
      </c>
      <c r="M67" s="98">
        <v>8.1396518674603389</v>
      </c>
      <c r="N67" s="98">
        <v>8.1368030299068863</v>
      </c>
      <c r="O67" s="98">
        <v>8.4517799871709247</v>
      </c>
      <c r="P67" s="98">
        <v>9.2530984704630583</v>
      </c>
      <c r="Q67" s="98">
        <v>9.2530460324560497</v>
      </c>
      <c r="R67" s="98">
        <v>9.4188283775045001</v>
      </c>
      <c r="S67" s="98">
        <v>9.4193184522773041</v>
      </c>
      <c r="T67" s="98">
        <v>10.205810583432051</v>
      </c>
      <c r="U67" s="98">
        <v>10.450768319988372</v>
      </c>
      <c r="V67" s="98">
        <v>15.366251481950112</v>
      </c>
      <c r="W67" s="98">
        <v>16.036049524834755</v>
      </c>
      <c r="X67" s="98">
        <v>21.125574698281337</v>
      </c>
      <c r="Y67" s="98">
        <v>20.481993151740564</v>
      </c>
      <c r="Z67" s="98">
        <v>19.651358093101187</v>
      </c>
      <c r="AA67" s="98">
        <v>19.593676926434913</v>
      </c>
      <c r="AB67" s="98">
        <v>21.219618127082988</v>
      </c>
      <c r="AC67" s="98">
        <v>22.13979179913736</v>
      </c>
      <c r="AD67" s="98">
        <v>22.201823637153204</v>
      </c>
      <c r="AE67" s="98">
        <v>22.560276535543061</v>
      </c>
      <c r="AF67" s="98">
        <v>24.714386524313255</v>
      </c>
      <c r="AG67" s="98">
        <v>26.968428625197777</v>
      </c>
      <c r="AH67" s="98">
        <v>27.123612239794184</v>
      </c>
    </row>
    <row r="68" spans="1:34" x14ac:dyDescent="0.3">
      <c r="A68" s="96" t="s">
        <v>83</v>
      </c>
      <c r="B68" s="96" t="s">
        <v>123</v>
      </c>
      <c r="C68" s="96" t="s">
        <v>47</v>
      </c>
      <c r="D68" s="96" t="s">
        <v>27</v>
      </c>
      <c r="E68" s="98">
        <v>3.3191782352374308</v>
      </c>
      <c r="F68" s="98">
        <v>3.1203519330297942</v>
      </c>
      <c r="G68" s="98">
        <v>4.8253990551655273</v>
      </c>
      <c r="H68" s="98">
        <v>5.4730242581707067</v>
      </c>
      <c r="I68" s="98">
        <v>6.1718867367370036</v>
      </c>
      <c r="J68" s="98">
        <v>6.9285910148253107</v>
      </c>
      <c r="K68" s="98">
        <v>7.4131991960056132</v>
      </c>
      <c r="L68" s="98">
        <v>7.7709738143853109</v>
      </c>
      <c r="M68" s="98">
        <v>8.1396518674603389</v>
      </c>
      <c r="N68" s="98">
        <v>8.1368030299068863</v>
      </c>
      <c r="O68" s="98">
        <v>8.4517799871709247</v>
      </c>
      <c r="P68" s="98">
        <v>9.2530984704630583</v>
      </c>
      <c r="Q68" s="98">
        <v>9.2530460324560497</v>
      </c>
      <c r="R68" s="98">
        <v>9.4188283775045001</v>
      </c>
      <c r="S68" s="98">
        <v>9.4193184522773041</v>
      </c>
      <c r="T68" s="98">
        <v>10.205810583432051</v>
      </c>
      <c r="U68" s="98">
        <v>10.450768319988372</v>
      </c>
      <c r="V68" s="98">
        <v>15.366251481950112</v>
      </c>
      <c r="W68" s="98">
        <v>16.036049524834755</v>
      </c>
      <c r="X68" s="98">
        <v>21.125574698281337</v>
      </c>
      <c r="Y68" s="98">
        <v>20.481993151740564</v>
      </c>
      <c r="Z68" s="98">
        <v>19.651358093101187</v>
      </c>
      <c r="AA68" s="98">
        <v>19.593676926434913</v>
      </c>
      <c r="AB68" s="98">
        <v>21.219618127082988</v>
      </c>
      <c r="AC68" s="98">
        <v>22.13979179913736</v>
      </c>
      <c r="AD68" s="98">
        <v>22.201823637153204</v>
      </c>
      <c r="AE68" s="98">
        <v>22.560276535543061</v>
      </c>
      <c r="AF68" s="98">
        <v>24.714386524313255</v>
      </c>
      <c r="AG68" s="98">
        <v>26.968428625197777</v>
      </c>
      <c r="AH68" s="98">
        <v>27.123612239794184</v>
      </c>
    </row>
    <row r="69" spans="1:34" x14ac:dyDescent="0.3">
      <c r="A69" s="96" t="s">
        <v>83</v>
      </c>
      <c r="B69" s="96" t="s">
        <v>124</v>
      </c>
      <c r="C69" s="96" t="s">
        <v>47</v>
      </c>
      <c r="D69" s="96" t="s">
        <v>5</v>
      </c>
      <c r="E69" s="98">
        <v>7.4920419300900312</v>
      </c>
      <c r="F69" s="98">
        <v>9.97634677417817</v>
      </c>
      <c r="G69" s="98">
        <v>14.515145841131833</v>
      </c>
      <c r="H69" s="98">
        <v>13.459527723445881</v>
      </c>
      <c r="I69" s="98">
        <v>11.315450105571358</v>
      </c>
      <c r="J69" s="98">
        <v>11.589073672588071</v>
      </c>
      <c r="K69" s="98">
        <v>11.7390709677489</v>
      </c>
      <c r="L69" s="98">
        <v>12.062690517110088</v>
      </c>
      <c r="M69" s="98">
        <v>12.35494895719156</v>
      </c>
      <c r="N69" s="98">
        <v>12.083887961412959</v>
      </c>
      <c r="O69" s="98">
        <v>12.544177502620196</v>
      </c>
      <c r="P69" s="98">
        <v>13.469516838890399</v>
      </c>
      <c r="Q69" s="98">
        <v>13.827785637105057</v>
      </c>
      <c r="R69" s="98">
        <v>14.225718545993136</v>
      </c>
      <c r="S69" s="98">
        <v>14.41849178225695</v>
      </c>
      <c r="T69" s="98">
        <v>15.057718004138218</v>
      </c>
      <c r="U69" s="98">
        <v>15.4024343501089</v>
      </c>
      <c r="V69" s="98">
        <v>20.809470219239756</v>
      </c>
      <c r="W69" s="98">
        <v>21.735571307901047</v>
      </c>
      <c r="X69" s="98">
        <v>32.023229502135933</v>
      </c>
      <c r="Y69" s="98">
        <v>32.326310449138504</v>
      </c>
      <c r="Z69" s="98">
        <v>32.682752121576627</v>
      </c>
      <c r="AA69" s="98">
        <v>34.354032478616681</v>
      </c>
      <c r="AB69" s="98">
        <v>34.79157592671875</v>
      </c>
      <c r="AC69" s="98">
        <v>35.200745918746811</v>
      </c>
      <c r="AD69" s="98">
        <v>35.525105760670726</v>
      </c>
      <c r="AE69" s="98">
        <v>36.220828434033592</v>
      </c>
      <c r="AF69" s="98">
        <v>39.361212454605131</v>
      </c>
      <c r="AG69" s="98">
        <v>42.642841224443202</v>
      </c>
      <c r="AH69" s="98">
        <v>43.663720198437488</v>
      </c>
    </row>
    <row r="70" spans="1:34" x14ac:dyDescent="0.3">
      <c r="A70" s="96" t="s">
        <v>83</v>
      </c>
      <c r="B70" s="96" t="s">
        <v>125</v>
      </c>
      <c r="C70" s="96" t="s">
        <v>47</v>
      </c>
      <c r="D70" s="96" t="s">
        <v>28</v>
      </c>
      <c r="E70" s="98">
        <v>5.1472811944365873</v>
      </c>
      <c r="F70" s="98">
        <v>3.2553519330297984</v>
      </c>
      <c r="G70" s="98">
        <v>4.7402830695191112</v>
      </c>
      <c r="H70" s="98">
        <v>4.9977354938187499</v>
      </c>
      <c r="I70" s="98">
        <v>6.0052355196507374</v>
      </c>
      <c r="J70" s="98">
        <v>7.0870829561921793</v>
      </c>
      <c r="K70" s="98">
        <v>7.836070293631229</v>
      </c>
      <c r="L70" s="98">
        <v>9.2785238494892646</v>
      </c>
      <c r="M70" s="98">
        <v>9.3194005416902392</v>
      </c>
      <c r="N70" s="98">
        <v>9.4349245295307043</v>
      </c>
      <c r="O70" s="98">
        <v>9.7252796639195207</v>
      </c>
      <c r="P70" s="98">
        <v>10.388192505788961</v>
      </c>
      <c r="Q70" s="98">
        <v>10.601957900727488</v>
      </c>
      <c r="R70" s="98">
        <v>10.898233509733172</v>
      </c>
      <c r="S70" s="98">
        <v>11.082211666703964</v>
      </c>
      <c r="T70" s="98">
        <v>11.743826780222635</v>
      </c>
      <c r="U70" s="98">
        <v>12.04176719737991</v>
      </c>
      <c r="V70" s="98">
        <v>17.681825348581544</v>
      </c>
      <c r="W70" s="98">
        <v>18.521939238479909</v>
      </c>
      <c r="X70" s="98">
        <v>21.307951124160873</v>
      </c>
      <c r="Y70" s="98">
        <v>26.560136844615339</v>
      </c>
      <c r="Z70" s="98">
        <v>26.79577605461704</v>
      </c>
      <c r="AA70" s="98">
        <v>27.999993552816186</v>
      </c>
      <c r="AB70" s="98">
        <v>28.218903808218187</v>
      </c>
      <c r="AC70" s="98">
        <v>28.507774748460335</v>
      </c>
      <c r="AD70" s="98">
        <v>28.576211316112186</v>
      </c>
      <c r="AE70" s="98">
        <v>29.082074519114339</v>
      </c>
      <c r="AF70" s="98">
        <v>31.776432528306582</v>
      </c>
      <c r="AG70" s="98">
        <v>34.592918817047483</v>
      </c>
      <c r="AH70" s="98">
        <v>35.106797438163582</v>
      </c>
    </row>
    <row r="75" spans="1:34" x14ac:dyDescent="0.3">
      <c r="A75" s="96" t="s">
        <v>88</v>
      </c>
      <c r="B75" s="96" t="str">
        <f>C75&amp;"-"&amp;D75</f>
        <v>Rate-Type</v>
      </c>
      <c r="C75" s="96" t="s">
        <v>135</v>
      </c>
      <c r="D75" s="96" t="s">
        <v>87</v>
      </c>
      <c r="E75" s="96">
        <v>2021</v>
      </c>
      <c r="F75" s="96">
        <v>2022</v>
      </c>
      <c r="G75" s="96">
        <v>2023</v>
      </c>
      <c r="H75" s="96">
        <v>2024</v>
      </c>
      <c r="I75" s="96">
        <v>2025</v>
      </c>
      <c r="J75" s="96">
        <v>2026</v>
      </c>
      <c r="K75" s="96">
        <v>2027</v>
      </c>
      <c r="L75" s="96">
        <v>2028</v>
      </c>
      <c r="M75" s="96">
        <v>2029</v>
      </c>
      <c r="N75" s="96">
        <v>2030</v>
      </c>
      <c r="O75" s="96">
        <v>2031</v>
      </c>
      <c r="P75" s="96">
        <v>2032</v>
      </c>
      <c r="Q75" s="96">
        <v>2033</v>
      </c>
      <c r="R75" s="96">
        <v>2034</v>
      </c>
      <c r="S75" s="96">
        <v>2035</v>
      </c>
      <c r="T75" s="96">
        <v>2036</v>
      </c>
      <c r="U75" s="96">
        <v>2037</v>
      </c>
      <c r="V75" s="96">
        <v>2038</v>
      </c>
      <c r="W75" s="96">
        <v>2039</v>
      </c>
      <c r="X75" s="96">
        <v>2040</v>
      </c>
      <c r="Y75" s="96">
        <v>2041</v>
      </c>
      <c r="Z75" s="96">
        <v>2042</v>
      </c>
      <c r="AA75" s="96">
        <v>2043</v>
      </c>
      <c r="AB75" s="96">
        <v>2044</v>
      </c>
      <c r="AC75" s="96">
        <v>2045</v>
      </c>
      <c r="AD75" s="96">
        <v>2046</v>
      </c>
      <c r="AE75" s="96">
        <v>2047</v>
      </c>
      <c r="AF75" s="96">
        <v>2048</v>
      </c>
      <c r="AG75" s="96">
        <v>2049</v>
      </c>
      <c r="AH75" s="96">
        <v>2050</v>
      </c>
    </row>
    <row r="76" spans="1:34" x14ac:dyDescent="0.3">
      <c r="A76" s="96" t="s">
        <v>133</v>
      </c>
      <c r="B76" s="96" t="str">
        <f t="shared" ref="B76:B119" si="1">C76&amp;"-"&amp;D76</f>
        <v>Default-Solar - Fixed Axis-A</v>
      </c>
      <c r="C76" s="96" t="s">
        <v>134</v>
      </c>
      <c r="D76" s="96" t="s">
        <v>93</v>
      </c>
      <c r="E76" s="96">
        <v>140.94990062838042</v>
      </c>
      <c r="F76" s="96">
        <v>138.11687980794045</v>
      </c>
      <c r="G76" s="96">
        <v>138.11687980794045</v>
      </c>
      <c r="H76" s="96">
        <v>139.05725358330042</v>
      </c>
      <c r="I76" s="96">
        <v>138.55977880470041</v>
      </c>
      <c r="J76" s="96">
        <v>141.17135012676042</v>
      </c>
      <c r="K76" s="96">
        <v>140.94990062838042</v>
      </c>
      <c r="L76" s="96">
        <v>138.11687980794045</v>
      </c>
      <c r="M76" s="96">
        <v>138.83580408492043</v>
      </c>
      <c r="N76" s="96">
        <v>139.05725358330042</v>
      </c>
      <c r="O76" s="96">
        <v>138.55977880470041</v>
      </c>
      <c r="P76" s="96">
        <v>140.94990062838042</v>
      </c>
      <c r="Q76" s="96">
        <v>138.11687980794045</v>
      </c>
      <c r="R76" s="96">
        <v>138.11687980794045</v>
      </c>
      <c r="S76" s="96">
        <v>138.83580408492043</v>
      </c>
      <c r="T76" s="96">
        <v>138.55977880470041</v>
      </c>
      <c r="U76" s="96">
        <v>141.17135012676042</v>
      </c>
      <c r="V76" s="96">
        <v>140.94990062838042</v>
      </c>
      <c r="W76" s="96">
        <v>138.11687980794045</v>
      </c>
      <c r="X76" s="96">
        <v>138.83580408492043</v>
      </c>
      <c r="Y76" s="96">
        <v>139.05725358330042</v>
      </c>
      <c r="Z76" s="96">
        <v>138.55977880470041</v>
      </c>
      <c r="AA76" s="96">
        <v>141.17135012676042</v>
      </c>
      <c r="AB76" s="96">
        <v>138.11687980794045</v>
      </c>
      <c r="AC76" s="96">
        <v>138.11687980794045</v>
      </c>
      <c r="AD76" s="96">
        <v>138.83580408492043</v>
      </c>
      <c r="AE76" s="96">
        <v>139.05725358330042</v>
      </c>
      <c r="AF76" s="96">
        <v>141.17135012676042</v>
      </c>
      <c r="AG76" s="96">
        <v>140.94990062838042</v>
      </c>
      <c r="AH76" s="96">
        <v>138.11687980794045</v>
      </c>
    </row>
    <row r="77" spans="1:34" x14ac:dyDescent="0.3">
      <c r="A77" s="96" t="s">
        <v>133</v>
      </c>
      <c r="B77" s="96" t="str">
        <f t="shared" si="1"/>
        <v>Default-Solar - Fixed Axis-B</v>
      </c>
      <c r="C77" s="96" t="s">
        <v>134</v>
      </c>
      <c r="D77" s="96" t="s">
        <v>94</v>
      </c>
      <c r="E77" s="96">
        <v>136.71956709246021</v>
      </c>
      <c r="F77" s="96">
        <v>134.12239385964028</v>
      </c>
      <c r="G77" s="96">
        <v>134.12239385964028</v>
      </c>
      <c r="H77" s="96">
        <v>134.74822641816019</v>
      </c>
      <c r="I77" s="96">
        <v>134.39756087508025</v>
      </c>
      <c r="J77" s="96">
        <v>136.8571506001802</v>
      </c>
      <c r="K77" s="96">
        <v>136.71956709246021</v>
      </c>
      <c r="L77" s="96">
        <v>134.12239385964028</v>
      </c>
      <c r="M77" s="96">
        <v>134.61064291044022</v>
      </c>
      <c r="N77" s="96">
        <v>134.74822641816019</v>
      </c>
      <c r="O77" s="96">
        <v>134.39756087508025</v>
      </c>
      <c r="P77" s="96">
        <v>136.71956709246021</v>
      </c>
      <c r="Q77" s="96">
        <v>134.12239385964028</v>
      </c>
      <c r="R77" s="96">
        <v>134.12239385964028</v>
      </c>
      <c r="S77" s="96">
        <v>134.61064291044022</v>
      </c>
      <c r="T77" s="96">
        <v>134.39756087508025</v>
      </c>
      <c r="U77" s="96">
        <v>136.8571506001802</v>
      </c>
      <c r="V77" s="96">
        <v>136.71956709246021</v>
      </c>
      <c r="W77" s="96">
        <v>134.12239385964028</v>
      </c>
      <c r="X77" s="96">
        <v>134.61064291044022</v>
      </c>
      <c r="Y77" s="96">
        <v>134.74822641816019</v>
      </c>
      <c r="Z77" s="96">
        <v>134.39756087508025</v>
      </c>
      <c r="AA77" s="96">
        <v>136.8571506001802</v>
      </c>
      <c r="AB77" s="96">
        <v>134.12239385964028</v>
      </c>
      <c r="AC77" s="96">
        <v>134.12239385964028</v>
      </c>
      <c r="AD77" s="96">
        <v>134.61064291044022</v>
      </c>
      <c r="AE77" s="96">
        <v>134.74822641816019</v>
      </c>
      <c r="AF77" s="96">
        <v>136.8571506001802</v>
      </c>
      <c r="AG77" s="96">
        <v>136.71956709246021</v>
      </c>
      <c r="AH77" s="96">
        <v>134.12239385964028</v>
      </c>
    </row>
    <row r="78" spans="1:34" x14ac:dyDescent="0.3">
      <c r="A78" s="96" t="s">
        <v>133</v>
      </c>
      <c r="B78" s="96" t="str">
        <f t="shared" si="1"/>
        <v>Default-Solar - Fixed Axis-C</v>
      </c>
      <c r="C78" s="96" t="s">
        <v>134</v>
      </c>
      <c r="D78" s="96" t="s">
        <v>95</v>
      </c>
      <c r="E78" s="96">
        <v>119.6296054574003</v>
      </c>
      <c r="F78" s="96">
        <v>117.14509398754028</v>
      </c>
      <c r="G78" s="96">
        <v>117.14509398754028</v>
      </c>
      <c r="H78" s="96">
        <v>117.85942407892028</v>
      </c>
      <c r="I78" s="96">
        <v>117.6801018718203</v>
      </c>
      <c r="J78" s="96">
        <v>119.89710939954028</v>
      </c>
      <c r="K78" s="96">
        <v>119.6296054574003</v>
      </c>
      <c r="L78" s="96">
        <v>117.14509398754028</v>
      </c>
      <c r="M78" s="96">
        <v>117.59192013678027</v>
      </c>
      <c r="N78" s="96">
        <v>117.85942407892028</v>
      </c>
      <c r="O78" s="96">
        <v>117.6801018718203</v>
      </c>
      <c r="P78" s="96">
        <v>119.6296054574003</v>
      </c>
      <c r="Q78" s="96">
        <v>117.14509398754028</v>
      </c>
      <c r="R78" s="96">
        <v>117.14509398754028</v>
      </c>
      <c r="S78" s="96">
        <v>117.59192013678027</v>
      </c>
      <c r="T78" s="96">
        <v>117.6801018718203</v>
      </c>
      <c r="U78" s="96">
        <v>119.89710939954028</v>
      </c>
      <c r="V78" s="96">
        <v>119.6296054574003</v>
      </c>
      <c r="W78" s="96">
        <v>117.14509398754028</v>
      </c>
      <c r="X78" s="96">
        <v>117.59192013678027</v>
      </c>
      <c r="Y78" s="96">
        <v>117.85942407892028</v>
      </c>
      <c r="Z78" s="96">
        <v>117.6801018718203</v>
      </c>
      <c r="AA78" s="96">
        <v>119.89710939954028</v>
      </c>
      <c r="AB78" s="96">
        <v>117.14509398754028</v>
      </c>
      <c r="AC78" s="96">
        <v>117.14509398754028</v>
      </c>
      <c r="AD78" s="96">
        <v>117.59192013678027</v>
      </c>
      <c r="AE78" s="96">
        <v>117.85942407892028</v>
      </c>
      <c r="AF78" s="96">
        <v>119.89710939954028</v>
      </c>
      <c r="AG78" s="96">
        <v>119.6296054574003</v>
      </c>
      <c r="AH78" s="96">
        <v>117.14509398754028</v>
      </c>
    </row>
    <row r="79" spans="1:34" x14ac:dyDescent="0.3">
      <c r="A79" s="96" t="s">
        <v>133</v>
      </c>
      <c r="B79" s="96" t="str">
        <f t="shared" si="1"/>
        <v>Default-Solar - Fixed Axis-D</v>
      </c>
      <c r="C79" s="96" t="s">
        <v>134</v>
      </c>
      <c r="D79" s="96" t="s">
        <v>96</v>
      </c>
      <c r="E79" s="96">
        <v>120.35919577139998</v>
      </c>
      <c r="F79" s="96">
        <v>117.83058588726006</v>
      </c>
      <c r="G79" s="96">
        <v>117.83058588726006</v>
      </c>
      <c r="H79" s="96">
        <v>118.68496196939998</v>
      </c>
      <c r="I79" s="96">
        <v>118.37014310898007</v>
      </c>
      <c r="J79" s="96">
        <v>120.62897438226008</v>
      </c>
      <c r="K79" s="96">
        <v>120.35919577139998</v>
      </c>
      <c r="L79" s="96">
        <v>117.83058588726006</v>
      </c>
      <c r="M79" s="96">
        <v>118.41518335854005</v>
      </c>
      <c r="N79" s="96">
        <v>118.68496196939998</v>
      </c>
      <c r="O79" s="96">
        <v>118.37014310898007</v>
      </c>
      <c r="P79" s="96">
        <v>120.35919577139998</v>
      </c>
      <c r="Q79" s="96">
        <v>117.83058588726006</v>
      </c>
      <c r="R79" s="96">
        <v>117.83058588726006</v>
      </c>
      <c r="S79" s="96">
        <v>118.41518335854005</v>
      </c>
      <c r="T79" s="96">
        <v>118.37014310898007</v>
      </c>
      <c r="U79" s="96">
        <v>120.62897438226008</v>
      </c>
      <c r="V79" s="96">
        <v>120.35919577139998</v>
      </c>
      <c r="W79" s="96">
        <v>117.83058588726006</v>
      </c>
      <c r="X79" s="96">
        <v>118.41518335854005</v>
      </c>
      <c r="Y79" s="96">
        <v>118.68496196939998</v>
      </c>
      <c r="Z79" s="96">
        <v>118.37014310898007</v>
      </c>
      <c r="AA79" s="96">
        <v>120.62897438226008</v>
      </c>
      <c r="AB79" s="96">
        <v>117.83058588726006</v>
      </c>
      <c r="AC79" s="96">
        <v>117.83058588726006</v>
      </c>
      <c r="AD79" s="96">
        <v>118.41518335854005</v>
      </c>
      <c r="AE79" s="96">
        <v>118.68496196939998</v>
      </c>
      <c r="AF79" s="96">
        <v>120.62897438226008</v>
      </c>
      <c r="AG79" s="96">
        <v>120.35919577139998</v>
      </c>
      <c r="AH79" s="96">
        <v>117.83058588726006</v>
      </c>
    </row>
    <row r="80" spans="1:34" x14ac:dyDescent="0.3">
      <c r="A80" s="96" t="s">
        <v>133</v>
      </c>
      <c r="B80" s="96" t="str">
        <f t="shared" si="1"/>
        <v>Default-Solar - Fixed Axis-E</v>
      </c>
      <c r="C80" s="96" t="s">
        <v>134</v>
      </c>
      <c r="D80" s="96" t="s">
        <v>97</v>
      </c>
      <c r="E80" s="96">
        <v>119.6296054574003</v>
      </c>
      <c r="F80" s="96">
        <v>117.14509398754028</v>
      </c>
      <c r="G80" s="96">
        <v>117.14509398754028</v>
      </c>
      <c r="H80" s="96">
        <v>117.85942407892028</v>
      </c>
      <c r="I80" s="96">
        <v>117.6801018718203</v>
      </c>
      <c r="J80" s="96">
        <v>119.89710939954028</v>
      </c>
      <c r="K80" s="96">
        <v>119.6296054574003</v>
      </c>
      <c r="L80" s="96">
        <v>117.14509398754028</v>
      </c>
      <c r="M80" s="96">
        <v>117.59192013678027</v>
      </c>
      <c r="N80" s="96">
        <v>117.85942407892028</v>
      </c>
      <c r="O80" s="96">
        <v>117.6801018718203</v>
      </c>
      <c r="P80" s="96">
        <v>119.6296054574003</v>
      </c>
      <c r="Q80" s="96">
        <v>117.14509398754028</v>
      </c>
      <c r="R80" s="96">
        <v>117.14509398754028</v>
      </c>
      <c r="S80" s="96">
        <v>117.59192013678027</v>
      </c>
      <c r="T80" s="96">
        <v>117.6801018718203</v>
      </c>
      <c r="U80" s="96">
        <v>119.89710939954028</v>
      </c>
      <c r="V80" s="96">
        <v>119.6296054574003</v>
      </c>
      <c r="W80" s="96">
        <v>117.14509398754028</v>
      </c>
      <c r="X80" s="96">
        <v>117.59192013678027</v>
      </c>
      <c r="Y80" s="96">
        <v>117.85942407892028</v>
      </c>
      <c r="Z80" s="96">
        <v>117.6801018718203</v>
      </c>
      <c r="AA80" s="96">
        <v>119.89710939954028</v>
      </c>
      <c r="AB80" s="96">
        <v>117.14509398754028</v>
      </c>
      <c r="AC80" s="96">
        <v>117.14509398754028</v>
      </c>
      <c r="AD80" s="96">
        <v>117.59192013678027</v>
      </c>
      <c r="AE80" s="96">
        <v>117.85942407892028</v>
      </c>
      <c r="AF80" s="96">
        <v>119.89710939954028</v>
      </c>
      <c r="AG80" s="96">
        <v>119.6296054574003</v>
      </c>
      <c r="AH80" s="96">
        <v>117.14509398754028</v>
      </c>
    </row>
    <row r="81" spans="1:34" x14ac:dyDescent="0.3">
      <c r="A81" s="96" t="s">
        <v>133</v>
      </c>
      <c r="B81" s="96" t="str">
        <f t="shared" si="1"/>
        <v>Default-Solar - Fixed Axis-F</v>
      </c>
      <c r="C81" s="96" t="s">
        <v>134</v>
      </c>
      <c r="D81" s="96" t="s">
        <v>98</v>
      </c>
      <c r="E81" s="96">
        <v>119.7766488752399</v>
      </c>
      <c r="F81" s="96">
        <v>117.35800120817981</v>
      </c>
      <c r="G81" s="96">
        <v>117.35800120817981</v>
      </c>
      <c r="H81" s="96">
        <v>118.11374065457993</v>
      </c>
      <c r="I81" s="96">
        <v>117.76040633777986</v>
      </c>
      <c r="J81" s="96">
        <v>119.97785144003991</v>
      </c>
      <c r="K81" s="96">
        <v>119.7766488752399</v>
      </c>
      <c r="L81" s="96">
        <v>117.35800120817981</v>
      </c>
      <c r="M81" s="96">
        <v>117.91253808977993</v>
      </c>
      <c r="N81" s="96">
        <v>118.11374065457993</v>
      </c>
      <c r="O81" s="96">
        <v>117.76040633777986</v>
      </c>
      <c r="P81" s="96">
        <v>119.7766488752399</v>
      </c>
      <c r="Q81" s="96">
        <v>117.35800120817981</v>
      </c>
      <c r="R81" s="96">
        <v>117.35800120817981</v>
      </c>
      <c r="S81" s="96">
        <v>117.91253808977993</v>
      </c>
      <c r="T81" s="96">
        <v>117.76040633777986</v>
      </c>
      <c r="U81" s="96">
        <v>119.97785144003991</v>
      </c>
      <c r="V81" s="96">
        <v>119.7766488752399</v>
      </c>
      <c r="W81" s="96">
        <v>117.35800120817981</v>
      </c>
      <c r="X81" s="96">
        <v>117.91253808977993</v>
      </c>
      <c r="Y81" s="96">
        <v>118.11374065457993</v>
      </c>
      <c r="Z81" s="96">
        <v>117.76040633777986</v>
      </c>
      <c r="AA81" s="96">
        <v>119.97785144003991</v>
      </c>
      <c r="AB81" s="96">
        <v>117.35800120817981</v>
      </c>
      <c r="AC81" s="96">
        <v>117.35800120817981</v>
      </c>
      <c r="AD81" s="96">
        <v>117.91253808977993</v>
      </c>
      <c r="AE81" s="96">
        <v>118.11374065457993</v>
      </c>
      <c r="AF81" s="96">
        <v>119.97785144003991</v>
      </c>
      <c r="AG81" s="96">
        <v>119.7766488752399</v>
      </c>
      <c r="AH81" s="96">
        <v>117.35800120817981</v>
      </c>
    </row>
    <row r="82" spans="1:34" x14ac:dyDescent="0.3">
      <c r="A82" s="96" t="s">
        <v>133</v>
      </c>
      <c r="B82" s="96" t="str">
        <f t="shared" si="1"/>
        <v>Default-Solar - Fixed Axis-G</v>
      </c>
      <c r="C82" s="96" t="s">
        <v>134</v>
      </c>
      <c r="D82" s="96" t="s">
        <v>99</v>
      </c>
      <c r="E82" s="96">
        <v>117.6599960446199</v>
      </c>
      <c r="F82" s="96">
        <v>115.29284245103989</v>
      </c>
      <c r="G82" s="96">
        <v>115.29284245103989</v>
      </c>
      <c r="H82" s="96">
        <v>116.04477078731989</v>
      </c>
      <c r="I82" s="96">
        <v>115.67832042473991</v>
      </c>
      <c r="J82" s="96">
        <v>117.8527350314699</v>
      </c>
      <c r="K82" s="96">
        <v>117.6599960446199</v>
      </c>
      <c r="L82" s="96">
        <v>115.29284245103989</v>
      </c>
      <c r="M82" s="96">
        <v>115.85203180046987</v>
      </c>
      <c r="N82" s="96">
        <v>116.04477078731989</v>
      </c>
      <c r="O82" s="96">
        <v>115.67832042473991</v>
      </c>
      <c r="P82" s="96">
        <v>117.6599960446199</v>
      </c>
      <c r="Q82" s="96">
        <v>115.29284245103989</v>
      </c>
      <c r="R82" s="96">
        <v>115.29284245103989</v>
      </c>
      <c r="S82" s="96">
        <v>115.85203180046987</v>
      </c>
      <c r="T82" s="96">
        <v>115.67832042473991</v>
      </c>
      <c r="U82" s="96">
        <v>117.8527350314699</v>
      </c>
      <c r="V82" s="96">
        <v>117.6599960446199</v>
      </c>
      <c r="W82" s="96">
        <v>115.29284245103989</v>
      </c>
      <c r="X82" s="96">
        <v>115.85203180046987</v>
      </c>
      <c r="Y82" s="96">
        <v>116.04477078731989</v>
      </c>
      <c r="Z82" s="96">
        <v>115.67832042473991</v>
      </c>
      <c r="AA82" s="96">
        <v>117.8527350314699</v>
      </c>
      <c r="AB82" s="96">
        <v>115.29284245103989</v>
      </c>
      <c r="AC82" s="96">
        <v>115.29284245103989</v>
      </c>
      <c r="AD82" s="96">
        <v>115.85203180046987</v>
      </c>
      <c r="AE82" s="96">
        <v>116.04477078731989</v>
      </c>
      <c r="AF82" s="96">
        <v>117.8527350314699</v>
      </c>
      <c r="AG82" s="96">
        <v>117.6599960446199</v>
      </c>
      <c r="AH82" s="96">
        <v>115.29284245103989</v>
      </c>
    </row>
    <row r="83" spans="1:34" x14ac:dyDescent="0.3">
      <c r="A83" s="96" t="s">
        <v>133</v>
      </c>
      <c r="B83" s="96" t="str">
        <f t="shared" si="1"/>
        <v>ConEd (11am-3pm)-Solar - Fixed Axis-H</v>
      </c>
      <c r="C83" s="96" t="s">
        <v>129</v>
      </c>
      <c r="D83" s="96" t="s">
        <v>100</v>
      </c>
      <c r="E83" s="96">
        <v>165.32366745725997</v>
      </c>
      <c r="F83" s="96">
        <v>162.35519225796006</v>
      </c>
      <c r="G83" s="96">
        <v>162.35519225796006</v>
      </c>
      <c r="H83" s="96">
        <v>162.85447603163993</v>
      </c>
      <c r="I83" s="96">
        <v>162.45749437104001</v>
      </c>
      <c r="J83" s="96">
        <v>165.37481851379994</v>
      </c>
      <c r="K83" s="96">
        <v>165.32366745725997</v>
      </c>
      <c r="L83" s="96">
        <v>162.35519225796006</v>
      </c>
      <c r="M83" s="96">
        <v>162.80332497509997</v>
      </c>
      <c r="N83" s="96">
        <v>162.85447603163993</v>
      </c>
      <c r="O83" s="96">
        <v>162.45749437104001</v>
      </c>
      <c r="P83" s="96">
        <v>165.32366745725997</v>
      </c>
      <c r="Q83" s="96">
        <v>162.35519225796006</v>
      </c>
      <c r="R83" s="96">
        <v>162.35519225796006</v>
      </c>
      <c r="S83" s="96">
        <v>162.80332497509997</v>
      </c>
      <c r="T83" s="96">
        <v>162.45749437104001</v>
      </c>
      <c r="U83" s="96">
        <v>165.37481851379994</v>
      </c>
      <c r="V83" s="96">
        <v>165.32366745725997</v>
      </c>
      <c r="W83" s="96">
        <v>162.35519225796006</v>
      </c>
      <c r="X83" s="96">
        <v>162.80332497509997</v>
      </c>
      <c r="Y83" s="96">
        <v>162.85447603163993</v>
      </c>
      <c r="Z83" s="96">
        <v>162.45749437104001</v>
      </c>
      <c r="AA83" s="96">
        <v>165.37481851379994</v>
      </c>
      <c r="AB83" s="96">
        <v>162.35519225796006</v>
      </c>
      <c r="AC83" s="96">
        <v>162.35519225796006</v>
      </c>
      <c r="AD83" s="96">
        <v>162.80332497509997</v>
      </c>
      <c r="AE83" s="96">
        <v>162.85447603163993</v>
      </c>
      <c r="AF83" s="96">
        <v>165.37481851379994</v>
      </c>
      <c r="AG83" s="96">
        <v>165.32366745725997</v>
      </c>
      <c r="AH83" s="96">
        <v>162.35519225796006</v>
      </c>
    </row>
    <row r="84" spans="1:34" x14ac:dyDescent="0.3">
      <c r="A84" s="96" t="s">
        <v>133</v>
      </c>
      <c r="B84" s="96" t="str">
        <f t="shared" si="1"/>
        <v>ConEd (2pm-6pm)-Solar - Fixed Axis-H</v>
      </c>
      <c r="C84" s="96" t="s">
        <v>130</v>
      </c>
      <c r="D84" s="96" t="s">
        <v>100</v>
      </c>
      <c r="E84" s="96">
        <v>109.82108129082006</v>
      </c>
      <c r="F84" s="96">
        <v>107.66916685752008</v>
      </c>
      <c r="G84" s="96">
        <v>107.66916685752008</v>
      </c>
      <c r="H84" s="96">
        <v>108.2840969496</v>
      </c>
      <c r="I84" s="96">
        <v>107.96601961248007</v>
      </c>
      <c r="J84" s="96">
        <v>109.96950766830004</v>
      </c>
      <c r="K84" s="96">
        <v>109.82108129082006</v>
      </c>
      <c r="L84" s="96">
        <v>107.66916685752008</v>
      </c>
      <c r="M84" s="96">
        <v>108.13567057212006</v>
      </c>
      <c r="N84" s="96">
        <v>108.2840969496</v>
      </c>
      <c r="O84" s="96">
        <v>107.96601961248007</v>
      </c>
      <c r="P84" s="96">
        <v>109.82108129082006</v>
      </c>
      <c r="Q84" s="96">
        <v>107.66916685752008</v>
      </c>
      <c r="R84" s="96">
        <v>107.66916685752008</v>
      </c>
      <c r="S84" s="96">
        <v>108.13567057212006</v>
      </c>
      <c r="T84" s="96">
        <v>107.96601961248007</v>
      </c>
      <c r="U84" s="96">
        <v>109.96950766830004</v>
      </c>
      <c r="V84" s="96">
        <v>109.82108129082006</v>
      </c>
      <c r="W84" s="96">
        <v>107.66916685752008</v>
      </c>
      <c r="X84" s="96">
        <v>108.13567057212006</v>
      </c>
      <c r="Y84" s="96">
        <v>108.2840969496</v>
      </c>
      <c r="Z84" s="96">
        <v>107.96601961248007</v>
      </c>
      <c r="AA84" s="96">
        <v>109.96950766830004</v>
      </c>
      <c r="AB84" s="96">
        <v>107.66916685752008</v>
      </c>
      <c r="AC84" s="96">
        <v>107.66916685752008</v>
      </c>
      <c r="AD84" s="96">
        <v>108.13567057212006</v>
      </c>
      <c r="AE84" s="96">
        <v>108.2840969496</v>
      </c>
      <c r="AF84" s="96">
        <v>109.96950766830004</v>
      </c>
      <c r="AG84" s="96">
        <v>109.82108129082006</v>
      </c>
      <c r="AH84" s="96">
        <v>107.66916685752008</v>
      </c>
    </row>
    <row r="85" spans="1:34" x14ac:dyDescent="0.3">
      <c r="A85" s="96" t="s">
        <v>133</v>
      </c>
      <c r="B85" s="96" t="str">
        <f t="shared" si="1"/>
        <v>ConEd (4pm-8pm)-Solar - Fixed Axis-H</v>
      </c>
      <c r="C85" s="96" t="s">
        <v>131</v>
      </c>
      <c r="D85" s="96" t="s">
        <v>100</v>
      </c>
      <c r="E85" s="96">
        <v>46.692145379280028</v>
      </c>
      <c r="F85" s="96">
        <v>45.612700453440034</v>
      </c>
      <c r="G85" s="96">
        <v>45.612700453440034</v>
      </c>
      <c r="H85" s="96">
        <v>46.147270148160032</v>
      </c>
      <c r="I85" s="96">
        <v>45.93140477699999</v>
      </c>
      <c r="J85" s="96">
        <v>46.85149754106002</v>
      </c>
      <c r="K85" s="96">
        <v>46.692145379280028</v>
      </c>
      <c r="L85" s="96">
        <v>45.612700453440034</v>
      </c>
      <c r="M85" s="96">
        <v>45.987917986380033</v>
      </c>
      <c r="N85" s="96">
        <v>46.147270148160032</v>
      </c>
      <c r="O85" s="96">
        <v>45.93140477699999</v>
      </c>
      <c r="P85" s="96">
        <v>46.692145379280028</v>
      </c>
      <c r="Q85" s="96">
        <v>45.612700453440034</v>
      </c>
      <c r="R85" s="96">
        <v>45.612700453440034</v>
      </c>
      <c r="S85" s="96">
        <v>45.987917986380033</v>
      </c>
      <c r="T85" s="96">
        <v>45.93140477699999</v>
      </c>
      <c r="U85" s="96">
        <v>46.85149754106002</v>
      </c>
      <c r="V85" s="96">
        <v>46.692145379280028</v>
      </c>
      <c r="W85" s="96">
        <v>45.612700453440034</v>
      </c>
      <c r="X85" s="96">
        <v>45.987917986380033</v>
      </c>
      <c r="Y85" s="96">
        <v>46.147270148160032</v>
      </c>
      <c r="Z85" s="96">
        <v>45.93140477699999</v>
      </c>
      <c r="AA85" s="96">
        <v>46.85149754106002</v>
      </c>
      <c r="AB85" s="96">
        <v>45.612700453440034</v>
      </c>
      <c r="AC85" s="96">
        <v>45.612700453440034</v>
      </c>
      <c r="AD85" s="96">
        <v>45.987917986380033</v>
      </c>
      <c r="AE85" s="96">
        <v>46.147270148160032</v>
      </c>
      <c r="AF85" s="96">
        <v>46.85149754106002</v>
      </c>
      <c r="AG85" s="96">
        <v>46.692145379280028</v>
      </c>
      <c r="AH85" s="96">
        <v>45.612700453440034</v>
      </c>
    </row>
    <row r="86" spans="1:34" x14ac:dyDescent="0.3">
      <c r="A86" s="96" t="s">
        <v>133</v>
      </c>
      <c r="B86" s="96" t="str">
        <f t="shared" si="1"/>
        <v>ConEd (7pm-11pm)-Solar - Fixed Axis-H</v>
      </c>
      <c r="C86" s="96" t="s">
        <v>132</v>
      </c>
      <c r="D86" s="96" t="s">
        <v>100</v>
      </c>
      <c r="E86" s="96">
        <v>0.95017181814000096</v>
      </c>
      <c r="F86" s="96">
        <v>0.90076467036000107</v>
      </c>
      <c r="G86" s="96">
        <v>0.90076467036000107</v>
      </c>
      <c r="H86" s="96">
        <v>0.95017181814000096</v>
      </c>
      <c r="I86" s="96">
        <v>0.94207201992000089</v>
      </c>
      <c r="J86" s="96">
        <v>0.97082549292000087</v>
      </c>
      <c r="K86" s="96">
        <v>0.95017181814000096</v>
      </c>
      <c r="L86" s="96">
        <v>0.90076467036000107</v>
      </c>
      <c r="M86" s="96">
        <v>0.92951814336000105</v>
      </c>
      <c r="N86" s="96">
        <v>0.95017181814000096</v>
      </c>
      <c r="O86" s="96">
        <v>0.94207201992000089</v>
      </c>
      <c r="P86" s="96">
        <v>0.95017181814000096</v>
      </c>
      <c r="Q86" s="96">
        <v>0.90076467036000107</v>
      </c>
      <c r="R86" s="96">
        <v>0.90076467036000107</v>
      </c>
      <c r="S86" s="96">
        <v>0.92951814336000105</v>
      </c>
      <c r="T86" s="96">
        <v>0.94207201992000089</v>
      </c>
      <c r="U86" s="96">
        <v>0.97082549292000087</v>
      </c>
      <c r="V86" s="96">
        <v>0.95017181814000096</v>
      </c>
      <c r="W86" s="96">
        <v>0.90076467036000107</v>
      </c>
      <c r="X86" s="96">
        <v>0.92951814336000105</v>
      </c>
      <c r="Y86" s="96">
        <v>0.95017181814000096</v>
      </c>
      <c r="Z86" s="96">
        <v>0.94207201992000089</v>
      </c>
      <c r="AA86" s="96">
        <v>0.97082549292000087</v>
      </c>
      <c r="AB86" s="96">
        <v>0.90076467036000107</v>
      </c>
      <c r="AC86" s="96">
        <v>0.90076467036000107</v>
      </c>
      <c r="AD86" s="96">
        <v>0.92951814336000105</v>
      </c>
      <c r="AE86" s="96">
        <v>0.95017181814000096</v>
      </c>
      <c r="AF86" s="96">
        <v>0.97082549292000087</v>
      </c>
      <c r="AG86" s="96">
        <v>0.95017181814000096</v>
      </c>
      <c r="AH86" s="96">
        <v>0.90076467036000107</v>
      </c>
    </row>
    <row r="87" spans="1:34" x14ac:dyDescent="0.3">
      <c r="A87" s="96" t="s">
        <v>133</v>
      </c>
      <c r="B87" s="96" t="str">
        <f t="shared" si="1"/>
        <v>Default-Solar - Fixed Axis-H</v>
      </c>
      <c r="C87" s="96" t="s">
        <v>134</v>
      </c>
      <c r="D87" s="96" t="s">
        <v>100</v>
      </c>
      <c r="E87" s="96">
        <v>115.54334321399998</v>
      </c>
      <c r="F87" s="96">
        <v>113.22768369389979</v>
      </c>
      <c r="G87" s="96">
        <v>113.22768369389979</v>
      </c>
      <c r="H87" s="96">
        <v>113.9758009200598</v>
      </c>
      <c r="I87" s="96">
        <v>113.59623451169981</v>
      </c>
      <c r="J87" s="96">
        <v>115.7276186228998</v>
      </c>
      <c r="K87" s="96">
        <v>115.54334321399998</v>
      </c>
      <c r="L87" s="96">
        <v>113.22768369389979</v>
      </c>
      <c r="M87" s="96">
        <v>113.79152551115979</v>
      </c>
      <c r="N87" s="96">
        <v>113.9758009200598</v>
      </c>
      <c r="O87" s="96">
        <v>113.59623451169981</v>
      </c>
      <c r="P87" s="96">
        <v>115.54334321399998</v>
      </c>
      <c r="Q87" s="96">
        <v>113.22768369389979</v>
      </c>
      <c r="R87" s="96">
        <v>113.22768369389979</v>
      </c>
      <c r="S87" s="96">
        <v>113.79152551115979</v>
      </c>
      <c r="T87" s="96">
        <v>113.59623451169981</v>
      </c>
      <c r="U87" s="96">
        <v>115.7276186228998</v>
      </c>
      <c r="V87" s="96">
        <v>115.54334321399998</v>
      </c>
      <c r="W87" s="96">
        <v>113.22768369389979</v>
      </c>
      <c r="X87" s="96">
        <v>113.79152551115979</v>
      </c>
      <c r="Y87" s="96">
        <v>113.9758009200598</v>
      </c>
      <c r="Z87" s="96">
        <v>113.59623451169981</v>
      </c>
      <c r="AA87" s="96">
        <v>115.7276186228998</v>
      </c>
      <c r="AB87" s="96">
        <v>113.22768369389979</v>
      </c>
      <c r="AC87" s="96">
        <v>113.22768369389979</v>
      </c>
      <c r="AD87" s="96">
        <v>113.79152551115979</v>
      </c>
      <c r="AE87" s="96">
        <v>113.9758009200598</v>
      </c>
      <c r="AF87" s="96">
        <v>115.7276186228998</v>
      </c>
      <c r="AG87" s="96">
        <v>115.54334321399998</v>
      </c>
      <c r="AH87" s="96">
        <v>113.22768369389979</v>
      </c>
    </row>
    <row r="88" spans="1:34" x14ac:dyDescent="0.3">
      <c r="A88" s="96" t="s">
        <v>133</v>
      </c>
      <c r="B88" s="96" t="str">
        <f t="shared" si="1"/>
        <v>ConEd (11am-3pm)-Solar - Fixed Axis-I</v>
      </c>
      <c r="C88" s="96" t="s">
        <v>129</v>
      </c>
      <c r="D88" s="96" t="s">
        <v>101</v>
      </c>
      <c r="E88" s="96">
        <v>165.32366745725997</v>
      </c>
      <c r="F88" s="96">
        <v>162.35519225796006</v>
      </c>
      <c r="G88" s="96">
        <v>162.35519225796006</v>
      </c>
      <c r="H88" s="96">
        <v>162.85447603163993</v>
      </c>
      <c r="I88" s="96">
        <v>162.45749437104001</v>
      </c>
      <c r="J88" s="96">
        <v>165.37481851379994</v>
      </c>
      <c r="K88" s="96">
        <v>165.32366745725997</v>
      </c>
      <c r="L88" s="96">
        <v>162.35519225796006</v>
      </c>
      <c r="M88" s="96">
        <v>162.80332497509997</v>
      </c>
      <c r="N88" s="96">
        <v>162.85447603163993</v>
      </c>
      <c r="O88" s="96">
        <v>162.45749437104001</v>
      </c>
      <c r="P88" s="96">
        <v>165.32366745725997</v>
      </c>
      <c r="Q88" s="96">
        <v>162.35519225796006</v>
      </c>
      <c r="R88" s="96">
        <v>162.35519225796006</v>
      </c>
      <c r="S88" s="96">
        <v>162.80332497509997</v>
      </c>
      <c r="T88" s="96">
        <v>162.45749437104001</v>
      </c>
      <c r="U88" s="96">
        <v>165.37481851379994</v>
      </c>
      <c r="V88" s="96">
        <v>165.32366745725997</v>
      </c>
      <c r="W88" s="96">
        <v>162.35519225796006</v>
      </c>
      <c r="X88" s="96">
        <v>162.80332497509997</v>
      </c>
      <c r="Y88" s="96">
        <v>162.85447603163993</v>
      </c>
      <c r="Z88" s="96">
        <v>162.45749437104001</v>
      </c>
      <c r="AA88" s="96">
        <v>165.37481851379994</v>
      </c>
      <c r="AB88" s="96">
        <v>162.35519225796006</v>
      </c>
      <c r="AC88" s="96">
        <v>162.35519225796006</v>
      </c>
      <c r="AD88" s="96">
        <v>162.80332497509997</v>
      </c>
      <c r="AE88" s="96">
        <v>162.85447603163993</v>
      </c>
      <c r="AF88" s="96">
        <v>165.37481851379994</v>
      </c>
      <c r="AG88" s="96">
        <v>165.32366745725997</v>
      </c>
      <c r="AH88" s="96">
        <v>162.35519225796006</v>
      </c>
    </row>
    <row r="89" spans="1:34" x14ac:dyDescent="0.3">
      <c r="A89" s="96" t="s">
        <v>133</v>
      </c>
      <c r="B89" s="96" t="str">
        <f t="shared" si="1"/>
        <v>ConEd (2pm-6pm)-Solar - Fixed Axis-I</v>
      </c>
      <c r="C89" s="96" t="s">
        <v>130</v>
      </c>
      <c r="D89" s="96" t="s">
        <v>101</v>
      </c>
      <c r="E89" s="96">
        <v>109.82108129082006</v>
      </c>
      <c r="F89" s="96">
        <v>107.66916685752008</v>
      </c>
      <c r="G89" s="96">
        <v>107.66916685752008</v>
      </c>
      <c r="H89" s="96">
        <v>108.2840969496</v>
      </c>
      <c r="I89" s="96">
        <v>107.96601961248007</v>
      </c>
      <c r="J89" s="96">
        <v>109.96950766830004</v>
      </c>
      <c r="K89" s="96">
        <v>109.82108129082006</v>
      </c>
      <c r="L89" s="96">
        <v>107.66916685752008</v>
      </c>
      <c r="M89" s="96">
        <v>108.13567057212006</v>
      </c>
      <c r="N89" s="96">
        <v>108.2840969496</v>
      </c>
      <c r="O89" s="96">
        <v>107.96601961248007</v>
      </c>
      <c r="P89" s="96">
        <v>109.82108129082006</v>
      </c>
      <c r="Q89" s="96">
        <v>107.66916685752008</v>
      </c>
      <c r="R89" s="96">
        <v>107.66916685752008</v>
      </c>
      <c r="S89" s="96">
        <v>108.13567057212006</v>
      </c>
      <c r="T89" s="96">
        <v>107.96601961248007</v>
      </c>
      <c r="U89" s="96">
        <v>109.96950766830004</v>
      </c>
      <c r="V89" s="96">
        <v>109.82108129082006</v>
      </c>
      <c r="W89" s="96">
        <v>107.66916685752008</v>
      </c>
      <c r="X89" s="96">
        <v>108.13567057212006</v>
      </c>
      <c r="Y89" s="96">
        <v>108.2840969496</v>
      </c>
      <c r="Z89" s="96">
        <v>107.96601961248007</v>
      </c>
      <c r="AA89" s="96">
        <v>109.96950766830004</v>
      </c>
      <c r="AB89" s="96">
        <v>107.66916685752008</v>
      </c>
      <c r="AC89" s="96">
        <v>107.66916685752008</v>
      </c>
      <c r="AD89" s="96">
        <v>108.13567057212006</v>
      </c>
      <c r="AE89" s="96">
        <v>108.2840969496</v>
      </c>
      <c r="AF89" s="96">
        <v>109.96950766830004</v>
      </c>
      <c r="AG89" s="96">
        <v>109.82108129082006</v>
      </c>
      <c r="AH89" s="96">
        <v>107.66916685752008</v>
      </c>
    </row>
    <row r="90" spans="1:34" x14ac:dyDescent="0.3">
      <c r="A90" s="96" t="s">
        <v>133</v>
      </c>
      <c r="B90" s="96" t="str">
        <f t="shared" si="1"/>
        <v>ConEd (4pm-8pm)-Solar - Fixed Axis-I</v>
      </c>
      <c r="C90" s="96" t="s">
        <v>131</v>
      </c>
      <c r="D90" s="96" t="s">
        <v>101</v>
      </c>
      <c r="E90" s="96">
        <v>46.692145379280028</v>
      </c>
      <c r="F90" s="96">
        <v>45.612700453440034</v>
      </c>
      <c r="G90" s="96">
        <v>45.612700453440034</v>
      </c>
      <c r="H90" s="96">
        <v>46.147270148160032</v>
      </c>
      <c r="I90" s="96">
        <v>45.93140477699999</v>
      </c>
      <c r="J90" s="96">
        <v>46.85149754106002</v>
      </c>
      <c r="K90" s="96">
        <v>46.692145379280028</v>
      </c>
      <c r="L90" s="96">
        <v>45.612700453440034</v>
      </c>
      <c r="M90" s="96">
        <v>45.987917986380033</v>
      </c>
      <c r="N90" s="96">
        <v>46.147270148160032</v>
      </c>
      <c r="O90" s="96">
        <v>45.93140477699999</v>
      </c>
      <c r="P90" s="96">
        <v>46.692145379280028</v>
      </c>
      <c r="Q90" s="96">
        <v>45.612700453440034</v>
      </c>
      <c r="R90" s="96">
        <v>45.612700453440034</v>
      </c>
      <c r="S90" s="96">
        <v>45.987917986380033</v>
      </c>
      <c r="T90" s="96">
        <v>45.93140477699999</v>
      </c>
      <c r="U90" s="96">
        <v>46.85149754106002</v>
      </c>
      <c r="V90" s="96">
        <v>46.692145379280028</v>
      </c>
      <c r="W90" s="96">
        <v>45.612700453440034</v>
      </c>
      <c r="X90" s="96">
        <v>45.987917986380033</v>
      </c>
      <c r="Y90" s="96">
        <v>46.147270148160032</v>
      </c>
      <c r="Z90" s="96">
        <v>45.93140477699999</v>
      </c>
      <c r="AA90" s="96">
        <v>46.85149754106002</v>
      </c>
      <c r="AB90" s="96">
        <v>45.612700453440034</v>
      </c>
      <c r="AC90" s="96">
        <v>45.612700453440034</v>
      </c>
      <c r="AD90" s="96">
        <v>45.987917986380033</v>
      </c>
      <c r="AE90" s="96">
        <v>46.147270148160032</v>
      </c>
      <c r="AF90" s="96">
        <v>46.85149754106002</v>
      </c>
      <c r="AG90" s="96">
        <v>46.692145379280028</v>
      </c>
      <c r="AH90" s="96">
        <v>45.612700453440034</v>
      </c>
    </row>
    <row r="91" spans="1:34" x14ac:dyDescent="0.3">
      <c r="A91" s="96" t="s">
        <v>133</v>
      </c>
      <c r="B91" s="96" t="str">
        <f t="shared" si="1"/>
        <v>ConEd (7pm-11pm)-Solar - Fixed Axis-I</v>
      </c>
      <c r="C91" s="96" t="s">
        <v>132</v>
      </c>
      <c r="D91" s="96" t="s">
        <v>101</v>
      </c>
      <c r="E91" s="96">
        <v>0.95017181814000096</v>
      </c>
      <c r="F91" s="96">
        <v>0.90076467036000107</v>
      </c>
      <c r="G91" s="96">
        <v>0.90076467036000107</v>
      </c>
      <c r="H91" s="96">
        <v>0.95017181814000096</v>
      </c>
      <c r="I91" s="96">
        <v>0.94207201992000089</v>
      </c>
      <c r="J91" s="96">
        <v>0.97082549292000087</v>
      </c>
      <c r="K91" s="96">
        <v>0.95017181814000096</v>
      </c>
      <c r="L91" s="96">
        <v>0.90076467036000107</v>
      </c>
      <c r="M91" s="96">
        <v>0.92951814336000105</v>
      </c>
      <c r="N91" s="96">
        <v>0.95017181814000096</v>
      </c>
      <c r="O91" s="96">
        <v>0.94207201992000089</v>
      </c>
      <c r="P91" s="96">
        <v>0.95017181814000096</v>
      </c>
      <c r="Q91" s="96">
        <v>0.90076467036000107</v>
      </c>
      <c r="R91" s="96">
        <v>0.90076467036000107</v>
      </c>
      <c r="S91" s="96">
        <v>0.92951814336000105</v>
      </c>
      <c r="T91" s="96">
        <v>0.94207201992000089</v>
      </c>
      <c r="U91" s="96">
        <v>0.97082549292000087</v>
      </c>
      <c r="V91" s="96">
        <v>0.95017181814000096</v>
      </c>
      <c r="W91" s="96">
        <v>0.90076467036000107</v>
      </c>
      <c r="X91" s="96">
        <v>0.92951814336000105</v>
      </c>
      <c r="Y91" s="96">
        <v>0.95017181814000096</v>
      </c>
      <c r="Z91" s="96">
        <v>0.94207201992000089</v>
      </c>
      <c r="AA91" s="96">
        <v>0.97082549292000087</v>
      </c>
      <c r="AB91" s="96">
        <v>0.90076467036000107</v>
      </c>
      <c r="AC91" s="96">
        <v>0.90076467036000107</v>
      </c>
      <c r="AD91" s="96">
        <v>0.92951814336000105</v>
      </c>
      <c r="AE91" s="96">
        <v>0.95017181814000096</v>
      </c>
      <c r="AF91" s="96">
        <v>0.97082549292000087</v>
      </c>
      <c r="AG91" s="96">
        <v>0.95017181814000096</v>
      </c>
      <c r="AH91" s="96">
        <v>0.90076467036000107</v>
      </c>
    </row>
    <row r="92" spans="1:34" x14ac:dyDescent="0.3">
      <c r="A92" s="96" t="s">
        <v>133</v>
      </c>
      <c r="B92" s="96" t="str">
        <f t="shared" si="1"/>
        <v>Default-Solar - Fixed Axis-I</v>
      </c>
      <c r="C92" s="96" t="s">
        <v>134</v>
      </c>
      <c r="D92" s="96" t="s">
        <v>101</v>
      </c>
      <c r="E92" s="96">
        <v>115.54334321399998</v>
      </c>
      <c r="F92" s="96">
        <v>113.22768369389979</v>
      </c>
      <c r="G92" s="96">
        <v>113.22768369389979</v>
      </c>
      <c r="H92" s="96">
        <v>113.9758009200598</v>
      </c>
      <c r="I92" s="96">
        <v>113.59623451169981</v>
      </c>
      <c r="J92" s="96">
        <v>115.7276186228998</v>
      </c>
      <c r="K92" s="96">
        <v>115.54334321399998</v>
      </c>
      <c r="L92" s="96">
        <v>113.22768369389979</v>
      </c>
      <c r="M92" s="96">
        <v>113.79152551115979</v>
      </c>
      <c r="N92" s="96">
        <v>113.9758009200598</v>
      </c>
      <c r="O92" s="96">
        <v>113.59623451169981</v>
      </c>
      <c r="P92" s="96">
        <v>115.54334321399998</v>
      </c>
      <c r="Q92" s="96">
        <v>113.22768369389979</v>
      </c>
      <c r="R92" s="96">
        <v>113.22768369389979</v>
      </c>
      <c r="S92" s="96">
        <v>113.79152551115979</v>
      </c>
      <c r="T92" s="96">
        <v>113.59623451169981</v>
      </c>
      <c r="U92" s="96">
        <v>115.7276186228998</v>
      </c>
      <c r="V92" s="96">
        <v>115.54334321399998</v>
      </c>
      <c r="W92" s="96">
        <v>113.22768369389979</v>
      </c>
      <c r="X92" s="96">
        <v>113.79152551115979</v>
      </c>
      <c r="Y92" s="96">
        <v>113.9758009200598</v>
      </c>
      <c r="Z92" s="96">
        <v>113.59623451169981</v>
      </c>
      <c r="AA92" s="96">
        <v>115.7276186228998</v>
      </c>
      <c r="AB92" s="96">
        <v>113.22768369389979</v>
      </c>
      <c r="AC92" s="96">
        <v>113.22768369389979</v>
      </c>
      <c r="AD92" s="96">
        <v>113.79152551115979</v>
      </c>
      <c r="AE92" s="96">
        <v>113.9758009200598</v>
      </c>
      <c r="AF92" s="96">
        <v>115.7276186228998</v>
      </c>
      <c r="AG92" s="96">
        <v>115.54334321399998</v>
      </c>
      <c r="AH92" s="96">
        <v>113.22768369389979</v>
      </c>
    </row>
    <row r="93" spans="1:34" x14ac:dyDescent="0.3">
      <c r="A93" s="96" t="s">
        <v>133</v>
      </c>
      <c r="B93" s="96" t="str">
        <f t="shared" si="1"/>
        <v>ConEd (11am-3pm)-Solar - Fixed Axis-J</v>
      </c>
      <c r="C93" s="96" t="s">
        <v>129</v>
      </c>
      <c r="D93" s="96" t="s">
        <v>102</v>
      </c>
      <c r="E93" s="96">
        <v>165.32366745725997</v>
      </c>
      <c r="F93" s="96">
        <v>162.35519225796006</v>
      </c>
      <c r="G93" s="96">
        <v>162.35519225796006</v>
      </c>
      <c r="H93" s="96">
        <v>162.85447603163993</v>
      </c>
      <c r="I93" s="96">
        <v>162.45749437104001</v>
      </c>
      <c r="J93" s="96">
        <v>165.37481851379994</v>
      </c>
      <c r="K93" s="96">
        <v>165.32366745725997</v>
      </c>
      <c r="L93" s="96">
        <v>162.35519225796006</v>
      </c>
      <c r="M93" s="96">
        <v>162.80332497509997</v>
      </c>
      <c r="N93" s="96">
        <v>162.85447603163993</v>
      </c>
      <c r="O93" s="96">
        <v>162.45749437104001</v>
      </c>
      <c r="P93" s="96">
        <v>165.32366745725997</v>
      </c>
      <c r="Q93" s="96">
        <v>162.35519225796006</v>
      </c>
      <c r="R93" s="96">
        <v>162.35519225796006</v>
      </c>
      <c r="S93" s="96">
        <v>162.80332497509997</v>
      </c>
      <c r="T93" s="96">
        <v>162.45749437104001</v>
      </c>
      <c r="U93" s="96">
        <v>165.37481851379994</v>
      </c>
      <c r="V93" s="96">
        <v>165.32366745725997</v>
      </c>
      <c r="W93" s="96">
        <v>162.35519225796006</v>
      </c>
      <c r="X93" s="96">
        <v>162.80332497509997</v>
      </c>
      <c r="Y93" s="96">
        <v>162.85447603163993</v>
      </c>
      <c r="Z93" s="96">
        <v>162.45749437104001</v>
      </c>
      <c r="AA93" s="96">
        <v>165.37481851379994</v>
      </c>
      <c r="AB93" s="96">
        <v>162.35519225796006</v>
      </c>
      <c r="AC93" s="96">
        <v>162.35519225796006</v>
      </c>
      <c r="AD93" s="96">
        <v>162.80332497509997</v>
      </c>
      <c r="AE93" s="96">
        <v>162.85447603163993</v>
      </c>
      <c r="AF93" s="96">
        <v>165.37481851379994</v>
      </c>
      <c r="AG93" s="96">
        <v>165.32366745725997</v>
      </c>
      <c r="AH93" s="96">
        <v>162.35519225796006</v>
      </c>
    </row>
    <row r="94" spans="1:34" x14ac:dyDescent="0.3">
      <c r="A94" s="96" t="s">
        <v>133</v>
      </c>
      <c r="B94" s="96" t="str">
        <f t="shared" si="1"/>
        <v>ConEd (2pm-6pm)-Solar - Fixed Axis-J</v>
      </c>
      <c r="C94" s="96" t="s">
        <v>130</v>
      </c>
      <c r="D94" s="96" t="s">
        <v>102</v>
      </c>
      <c r="E94" s="96">
        <v>109.82108129082006</v>
      </c>
      <c r="F94" s="96">
        <v>107.66916685752008</v>
      </c>
      <c r="G94" s="96">
        <v>107.66916685752008</v>
      </c>
      <c r="H94" s="96">
        <v>108.2840969496</v>
      </c>
      <c r="I94" s="96">
        <v>107.96601961248007</v>
      </c>
      <c r="J94" s="96">
        <v>109.96950766830004</v>
      </c>
      <c r="K94" s="96">
        <v>109.82108129082006</v>
      </c>
      <c r="L94" s="96">
        <v>107.66916685752008</v>
      </c>
      <c r="M94" s="96">
        <v>108.13567057212006</v>
      </c>
      <c r="N94" s="96">
        <v>108.2840969496</v>
      </c>
      <c r="O94" s="96">
        <v>107.96601961248007</v>
      </c>
      <c r="P94" s="96">
        <v>109.82108129082006</v>
      </c>
      <c r="Q94" s="96">
        <v>107.66916685752008</v>
      </c>
      <c r="R94" s="96">
        <v>107.66916685752008</v>
      </c>
      <c r="S94" s="96">
        <v>108.13567057212006</v>
      </c>
      <c r="T94" s="96">
        <v>107.96601961248007</v>
      </c>
      <c r="U94" s="96">
        <v>109.96950766830004</v>
      </c>
      <c r="V94" s="96">
        <v>109.82108129082006</v>
      </c>
      <c r="W94" s="96">
        <v>107.66916685752008</v>
      </c>
      <c r="X94" s="96">
        <v>108.13567057212006</v>
      </c>
      <c r="Y94" s="96">
        <v>108.2840969496</v>
      </c>
      <c r="Z94" s="96">
        <v>107.96601961248007</v>
      </c>
      <c r="AA94" s="96">
        <v>109.96950766830004</v>
      </c>
      <c r="AB94" s="96">
        <v>107.66916685752008</v>
      </c>
      <c r="AC94" s="96">
        <v>107.66916685752008</v>
      </c>
      <c r="AD94" s="96">
        <v>108.13567057212006</v>
      </c>
      <c r="AE94" s="96">
        <v>108.2840969496</v>
      </c>
      <c r="AF94" s="96">
        <v>109.96950766830004</v>
      </c>
      <c r="AG94" s="96">
        <v>109.82108129082006</v>
      </c>
      <c r="AH94" s="96">
        <v>107.66916685752008</v>
      </c>
    </row>
    <row r="95" spans="1:34" x14ac:dyDescent="0.3">
      <c r="A95" s="96" t="s">
        <v>133</v>
      </c>
      <c r="B95" s="96" t="str">
        <f t="shared" si="1"/>
        <v>ConEd (4pm-8pm)-Solar - Fixed Axis-J</v>
      </c>
      <c r="C95" s="96" t="s">
        <v>131</v>
      </c>
      <c r="D95" s="96" t="s">
        <v>102</v>
      </c>
      <c r="E95" s="96">
        <v>46.692145379280028</v>
      </c>
      <c r="F95" s="96">
        <v>45.612700453440034</v>
      </c>
      <c r="G95" s="96">
        <v>45.612700453440034</v>
      </c>
      <c r="H95" s="96">
        <v>46.147270148160032</v>
      </c>
      <c r="I95" s="96">
        <v>45.93140477699999</v>
      </c>
      <c r="J95" s="96">
        <v>46.85149754106002</v>
      </c>
      <c r="K95" s="96">
        <v>46.692145379280028</v>
      </c>
      <c r="L95" s="96">
        <v>45.612700453440034</v>
      </c>
      <c r="M95" s="96">
        <v>45.987917986380033</v>
      </c>
      <c r="N95" s="96">
        <v>46.147270148160032</v>
      </c>
      <c r="O95" s="96">
        <v>45.93140477699999</v>
      </c>
      <c r="P95" s="96">
        <v>46.692145379280028</v>
      </c>
      <c r="Q95" s="96">
        <v>45.612700453440034</v>
      </c>
      <c r="R95" s="96">
        <v>45.612700453440034</v>
      </c>
      <c r="S95" s="96">
        <v>45.987917986380033</v>
      </c>
      <c r="T95" s="96">
        <v>45.93140477699999</v>
      </c>
      <c r="U95" s="96">
        <v>46.85149754106002</v>
      </c>
      <c r="V95" s="96">
        <v>46.692145379280028</v>
      </c>
      <c r="W95" s="96">
        <v>45.612700453440034</v>
      </c>
      <c r="X95" s="96">
        <v>45.987917986380033</v>
      </c>
      <c r="Y95" s="96">
        <v>46.147270148160032</v>
      </c>
      <c r="Z95" s="96">
        <v>45.93140477699999</v>
      </c>
      <c r="AA95" s="96">
        <v>46.85149754106002</v>
      </c>
      <c r="AB95" s="96">
        <v>45.612700453440034</v>
      </c>
      <c r="AC95" s="96">
        <v>45.612700453440034</v>
      </c>
      <c r="AD95" s="96">
        <v>45.987917986380033</v>
      </c>
      <c r="AE95" s="96">
        <v>46.147270148160032</v>
      </c>
      <c r="AF95" s="96">
        <v>46.85149754106002</v>
      </c>
      <c r="AG95" s="96">
        <v>46.692145379280028</v>
      </c>
      <c r="AH95" s="96">
        <v>45.612700453440034</v>
      </c>
    </row>
    <row r="96" spans="1:34" x14ac:dyDescent="0.3">
      <c r="A96" s="96" t="s">
        <v>133</v>
      </c>
      <c r="B96" s="96" t="str">
        <f t="shared" si="1"/>
        <v>ConEd (7pm-11pm)-Solar - Fixed Axis-J</v>
      </c>
      <c r="C96" s="96" t="s">
        <v>132</v>
      </c>
      <c r="D96" s="96" t="s">
        <v>102</v>
      </c>
      <c r="E96" s="96">
        <v>0.95017181814000096</v>
      </c>
      <c r="F96" s="96">
        <v>0.90076467036000107</v>
      </c>
      <c r="G96" s="96">
        <v>0.90076467036000107</v>
      </c>
      <c r="H96" s="96">
        <v>0.95017181814000096</v>
      </c>
      <c r="I96" s="96">
        <v>0.94207201992000089</v>
      </c>
      <c r="J96" s="96">
        <v>0.97082549292000087</v>
      </c>
      <c r="K96" s="96">
        <v>0.95017181814000096</v>
      </c>
      <c r="L96" s="96">
        <v>0.90076467036000107</v>
      </c>
      <c r="M96" s="96">
        <v>0.92951814336000105</v>
      </c>
      <c r="N96" s="96">
        <v>0.95017181814000096</v>
      </c>
      <c r="O96" s="96">
        <v>0.94207201992000089</v>
      </c>
      <c r="P96" s="96">
        <v>0.95017181814000096</v>
      </c>
      <c r="Q96" s="96">
        <v>0.90076467036000107</v>
      </c>
      <c r="R96" s="96">
        <v>0.90076467036000107</v>
      </c>
      <c r="S96" s="96">
        <v>0.92951814336000105</v>
      </c>
      <c r="T96" s="96">
        <v>0.94207201992000089</v>
      </c>
      <c r="U96" s="96">
        <v>0.97082549292000087</v>
      </c>
      <c r="V96" s="96">
        <v>0.95017181814000096</v>
      </c>
      <c r="W96" s="96">
        <v>0.90076467036000107</v>
      </c>
      <c r="X96" s="96">
        <v>0.92951814336000105</v>
      </c>
      <c r="Y96" s="96">
        <v>0.95017181814000096</v>
      </c>
      <c r="Z96" s="96">
        <v>0.94207201992000089</v>
      </c>
      <c r="AA96" s="96">
        <v>0.97082549292000087</v>
      </c>
      <c r="AB96" s="96">
        <v>0.90076467036000107</v>
      </c>
      <c r="AC96" s="96">
        <v>0.90076467036000107</v>
      </c>
      <c r="AD96" s="96">
        <v>0.92951814336000105</v>
      </c>
      <c r="AE96" s="96">
        <v>0.95017181814000096</v>
      </c>
      <c r="AF96" s="96">
        <v>0.97082549292000087</v>
      </c>
      <c r="AG96" s="96">
        <v>0.95017181814000096</v>
      </c>
      <c r="AH96" s="96">
        <v>0.90076467036000107</v>
      </c>
    </row>
    <row r="97" spans="1:34" x14ac:dyDescent="0.3">
      <c r="A97" s="96" t="s">
        <v>133</v>
      </c>
      <c r="B97" s="96" t="str">
        <f t="shared" si="1"/>
        <v>Default-Solar - Fixed Axis-K</v>
      </c>
      <c r="C97" s="96" t="s">
        <v>134</v>
      </c>
      <c r="D97" s="96" t="s">
        <v>103</v>
      </c>
      <c r="E97" s="96">
        <v>147.90437514996015</v>
      </c>
      <c r="F97" s="96">
        <v>145.34585218434006</v>
      </c>
      <c r="G97" s="96">
        <v>145.34585218434006</v>
      </c>
      <c r="H97" s="96">
        <v>143.69749579319998</v>
      </c>
      <c r="I97" s="96">
        <v>143.57411881692005</v>
      </c>
      <c r="J97" s="96">
        <v>148.07022830544011</v>
      </c>
      <c r="K97" s="96">
        <v>147.90437514996015</v>
      </c>
      <c r="L97" s="96">
        <v>145.34585218434006</v>
      </c>
      <c r="M97" s="96">
        <v>145.63508231609998</v>
      </c>
      <c r="N97" s="96">
        <v>143.69749579319998</v>
      </c>
      <c r="O97" s="96">
        <v>143.57411881692005</v>
      </c>
      <c r="P97" s="96">
        <v>147.90437514996015</v>
      </c>
      <c r="Q97" s="96">
        <v>145.34585218434006</v>
      </c>
      <c r="R97" s="96">
        <v>145.34585218434006</v>
      </c>
      <c r="S97" s="96">
        <v>145.63508231609998</v>
      </c>
      <c r="T97" s="96">
        <v>143.57411881692005</v>
      </c>
      <c r="U97" s="96">
        <v>148.07022830544011</v>
      </c>
      <c r="V97" s="96">
        <v>147.90437514996015</v>
      </c>
      <c r="W97" s="96">
        <v>145.34585218434006</v>
      </c>
      <c r="X97" s="96">
        <v>145.63508231609998</v>
      </c>
      <c r="Y97" s="96">
        <v>143.69749579319998</v>
      </c>
      <c r="Z97" s="96">
        <v>143.57411881692005</v>
      </c>
      <c r="AA97" s="96">
        <v>148.07022830544011</v>
      </c>
      <c r="AB97" s="96">
        <v>145.34585218434006</v>
      </c>
      <c r="AC97" s="96">
        <v>145.34585218434006</v>
      </c>
      <c r="AD97" s="96">
        <v>145.63508231609998</v>
      </c>
      <c r="AE97" s="96">
        <v>143.69749579319998</v>
      </c>
      <c r="AF97" s="96">
        <v>148.07022830544011</v>
      </c>
      <c r="AG97" s="96">
        <v>147.90437514996015</v>
      </c>
      <c r="AH97" s="96">
        <v>145.34585218434006</v>
      </c>
    </row>
    <row r="98" spans="1:34" x14ac:dyDescent="0.3">
      <c r="A98" s="96" t="s">
        <v>133</v>
      </c>
      <c r="B98" s="96" t="str">
        <f t="shared" si="1"/>
        <v>Default-Solar - Tracking-A</v>
      </c>
      <c r="C98" s="96" t="s">
        <v>134</v>
      </c>
      <c r="D98" s="96" t="s">
        <v>104</v>
      </c>
      <c r="E98" s="96">
        <v>181.15691919299945</v>
      </c>
      <c r="F98" s="96">
        <v>177.25801949393971</v>
      </c>
      <c r="G98" s="96">
        <v>177.25801949393971</v>
      </c>
      <c r="H98" s="96">
        <v>178.91654279771959</v>
      </c>
      <c r="I98" s="96">
        <v>178.13241068621963</v>
      </c>
      <c r="J98" s="96">
        <v>181.59411478913947</v>
      </c>
      <c r="K98" s="96">
        <v>181.15691919299945</v>
      </c>
      <c r="L98" s="96">
        <v>177.25801949393971</v>
      </c>
      <c r="M98" s="96">
        <v>178.47934720157957</v>
      </c>
      <c r="N98" s="96">
        <v>178.91654279771959</v>
      </c>
      <c r="O98" s="96">
        <v>178.13241068621963</v>
      </c>
      <c r="P98" s="96">
        <v>181.15691919299945</v>
      </c>
      <c r="Q98" s="96">
        <v>177.25801949393971</v>
      </c>
      <c r="R98" s="96">
        <v>177.25801949393971</v>
      </c>
      <c r="S98" s="96">
        <v>178.47934720157957</v>
      </c>
      <c r="T98" s="96">
        <v>178.13241068621963</v>
      </c>
      <c r="U98" s="96">
        <v>181.59411478913947</v>
      </c>
      <c r="V98" s="96">
        <v>181.15691919299945</v>
      </c>
      <c r="W98" s="96">
        <v>177.25801949393971</v>
      </c>
      <c r="X98" s="96">
        <v>178.47934720157957</v>
      </c>
      <c r="Y98" s="96">
        <v>178.91654279771959</v>
      </c>
      <c r="Z98" s="96">
        <v>178.13241068621963</v>
      </c>
      <c r="AA98" s="96">
        <v>181.59411478913947</v>
      </c>
      <c r="AB98" s="96">
        <v>177.25801949393971</v>
      </c>
      <c r="AC98" s="96">
        <v>177.25801949393971</v>
      </c>
      <c r="AD98" s="96">
        <v>178.47934720157957</v>
      </c>
      <c r="AE98" s="96">
        <v>178.91654279771959</v>
      </c>
      <c r="AF98" s="96">
        <v>181.59411478913947</v>
      </c>
      <c r="AG98" s="96">
        <v>181.15691919299945</v>
      </c>
      <c r="AH98" s="96">
        <v>177.25801949393971</v>
      </c>
    </row>
    <row r="99" spans="1:34" x14ac:dyDescent="0.3">
      <c r="A99" s="96" t="s">
        <v>133</v>
      </c>
      <c r="B99" s="96" t="str">
        <f t="shared" si="1"/>
        <v>Default-Solar - Tracking-B</v>
      </c>
      <c r="C99" s="96" t="s">
        <v>134</v>
      </c>
      <c r="D99" s="96" t="s">
        <v>105</v>
      </c>
      <c r="E99" s="96">
        <v>177.29655179184027</v>
      </c>
      <c r="F99" s="96">
        <v>173.62801494630017</v>
      </c>
      <c r="G99" s="96">
        <v>173.62801494630017</v>
      </c>
      <c r="H99" s="96">
        <v>174.9323249505602</v>
      </c>
      <c r="I99" s="96">
        <v>174.34863414894019</v>
      </c>
      <c r="J99" s="96">
        <v>177.65686139316037</v>
      </c>
      <c r="K99" s="96">
        <v>177.29655179184027</v>
      </c>
      <c r="L99" s="96">
        <v>173.62801494630017</v>
      </c>
      <c r="M99" s="96">
        <v>174.57201534924019</v>
      </c>
      <c r="N99" s="96">
        <v>174.9323249505602</v>
      </c>
      <c r="O99" s="96">
        <v>174.34863414894019</v>
      </c>
      <c r="P99" s="96">
        <v>177.29655179184027</v>
      </c>
      <c r="Q99" s="96">
        <v>173.62801494630017</v>
      </c>
      <c r="R99" s="96">
        <v>173.62801494630017</v>
      </c>
      <c r="S99" s="96">
        <v>174.57201534924019</v>
      </c>
      <c r="T99" s="96">
        <v>174.34863414894019</v>
      </c>
      <c r="U99" s="96">
        <v>177.65686139316037</v>
      </c>
      <c r="V99" s="96">
        <v>177.29655179184027</v>
      </c>
      <c r="W99" s="96">
        <v>173.62801494630017</v>
      </c>
      <c r="X99" s="96">
        <v>174.57201534924019</v>
      </c>
      <c r="Y99" s="96">
        <v>174.9323249505602</v>
      </c>
      <c r="Z99" s="96">
        <v>174.34863414894019</v>
      </c>
      <c r="AA99" s="96">
        <v>177.65686139316037</v>
      </c>
      <c r="AB99" s="96">
        <v>173.62801494630017</v>
      </c>
      <c r="AC99" s="96">
        <v>173.62801494630017</v>
      </c>
      <c r="AD99" s="96">
        <v>174.57201534924019</v>
      </c>
      <c r="AE99" s="96">
        <v>174.9323249505602</v>
      </c>
      <c r="AF99" s="96">
        <v>177.65686139316037</v>
      </c>
      <c r="AG99" s="96">
        <v>177.29655179184027</v>
      </c>
      <c r="AH99" s="96">
        <v>173.62801494630017</v>
      </c>
    </row>
    <row r="100" spans="1:34" x14ac:dyDescent="0.3">
      <c r="A100" s="96" t="s">
        <v>133</v>
      </c>
      <c r="B100" s="96" t="str">
        <f t="shared" si="1"/>
        <v>Default-Solar - Tracking-C</v>
      </c>
      <c r="C100" s="96" t="s">
        <v>134</v>
      </c>
      <c r="D100" s="96" t="s">
        <v>106</v>
      </c>
      <c r="E100" s="96">
        <v>156.5677006061</v>
      </c>
      <c r="F100" s="96">
        <v>153.03757672234005</v>
      </c>
      <c r="G100" s="96">
        <v>153.03757672234005</v>
      </c>
      <c r="H100" s="96">
        <v>154.40944678216002</v>
      </c>
      <c r="I100" s="96">
        <v>154.08538463942003</v>
      </c>
      <c r="J100" s="96">
        <v>157.09160456464002</v>
      </c>
      <c r="K100" s="96">
        <v>156.5677006061</v>
      </c>
      <c r="L100" s="96">
        <v>153.03757672234005</v>
      </c>
      <c r="M100" s="96">
        <v>153.88554282362003</v>
      </c>
      <c r="N100" s="96">
        <v>154.40944678216002</v>
      </c>
      <c r="O100" s="96">
        <v>154.08538463942003</v>
      </c>
      <c r="P100" s="96">
        <v>156.5677006061</v>
      </c>
      <c r="Q100" s="96">
        <v>153.03757672234005</v>
      </c>
      <c r="R100" s="96">
        <v>153.03757672234005</v>
      </c>
      <c r="S100" s="96">
        <v>153.88554282362003</v>
      </c>
      <c r="T100" s="96">
        <v>154.08538463942003</v>
      </c>
      <c r="U100" s="96">
        <v>157.09160456464002</v>
      </c>
      <c r="V100" s="96">
        <v>156.5677006061</v>
      </c>
      <c r="W100" s="96">
        <v>153.03757672234005</v>
      </c>
      <c r="X100" s="96">
        <v>153.88554282362003</v>
      </c>
      <c r="Y100" s="96">
        <v>154.40944678216002</v>
      </c>
      <c r="Z100" s="96">
        <v>154.08538463942003</v>
      </c>
      <c r="AA100" s="96">
        <v>157.09160456464002</v>
      </c>
      <c r="AB100" s="96">
        <v>153.03757672234005</v>
      </c>
      <c r="AC100" s="96">
        <v>153.03757672234005</v>
      </c>
      <c r="AD100" s="96">
        <v>153.88554282362003</v>
      </c>
      <c r="AE100" s="96">
        <v>154.40944678216002</v>
      </c>
      <c r="AF100" s="96">
        <v>157.09160456464002</v>
      </c>
      <c r="AG100" s="96">
        <v>156.5677006061</v>
      </c>
      <c r="AH100" s="96">
        <v>153.03757672234005</v>
      </c>
    </row>
    <row r="101" spans="1:34" x14ac:dyDescent="0.3">
      <c r="A101" s="96" t="s">
        <v>133</v>
      </c>
      <c r="B101" s="96" t="str">
        <f t="shared" si="1"/>
        <v>Default-Solar - Tracking-D</v>
      </c>
      <c r="C101" s="96" t="s">
        <v>134</v>
      </c>
      <c r="D101" s="96" t="s">
        <v>107</v>
      </c>
      <c r="E101" s="96">
        <v>162.80350089336036</v>
      </c>
      <c r="F101" s="96">
        <v>159.08393600034034</v>
      </c>
      <c r="G101" s="96">
        <v>159.08393600034034</v>
      </c>
      <c r="H101" s="96">
        <v>160.69248032160036</v>
      </c>
      <c r="I101" s="96">
        <v>160.17369572238039</v>
      </c>
      <c r="J101" s="96">
        <v>163.34838075438037</v>
      </c>
      <c r="K101" s="96">
        <v>162.80350089336036</v>
      </c>
      <c r="L101" s="96">
        <v>159.08393600034034</v>
      </c>
      <c r="M101" s="96">
        <v>160.14760046058035</v>
      </c>
      <c r="N101" s="96">
        <v>160.69248032160036</v>
      </c>
      <c r="O101" s="96">
        <v>160.17369572238039</v>
      </c>
      <c r="P101" s="96">
        <v>162.80350089336036</v>
      </c>
      <c r="Q101" s="96">
        <v>159.08393600034034</v>
      </c>
      <c r="R101" s="96">
        <v>159.08393600034034</v>
      </c>
      <c r="S101" s="96">
        <v>160.14760046058035</v>
      </c>
      <c r="T101" s="96">
        <v>160.17369572238039</v>
      </c>
      <c r="U101" s="96">
        <v>163.34838075438037</v>
      </c>
      <c r="V101" s="96">
        <v>162.80350089336036</v>
      </c>
      <c r="W101" s="96">
        <v>159.08393600034034</v>
      </c>
      <c r="X101" s="96">
        <v>160.14760046058035</v>
      </c>
      <c r="Y101" s="96">
        <v>160.69248032160036</v>
      </c>
      <c r="Z101" s="96">
        <v>160.17369572238039</v>
      </c>
      <c r="AA101" s="96">
        <v>163.34838075438037</v>
      </c>
      <c r="AB101" s="96">
        <v>159.08393600034034</v>
      </c>
      <c r="AC101" s="96">
        <v>159.08393600034034</v>
      </c>
      <c r="AD101" s="96">
        <v>160.14760046058035</v>
      </c>
      <c r="AE101" s="96">
        <v>160.69248032160036</v>
      </c>
      <c r="AF101" s="96">
        <v>163.34838075438037</v>
      </c>
      <c r="AG101" s="96">
        <v>162.80350089336036</v>
      </c>
      <c r="AH101" s="96">
        <v>159.08393600034034</v>
      </c>
    </row>
    <row r="102" spans="1:34" x14ac:dyDescent="0.3">
      <c r="A102" s="96" t="s">
        <v>133</v>
      </c>
      <c r="B102" s="96" t="str">
        <f t="shared" si="1"/>
        <v>Default-Solar - Tracking-E</v>
      </c>
      <c r="C102" s="96" t="s">
        <v>134</v>
      </c>
      <c r="D102" s="96" t="s">
        <v>108</v>
      </c>
      <c r="E102" s="96">
        <v>156.5677006061</v>
      </c>
      <c r="F102" s="96">
        <v>153.03757672234005</v>
      </c>
      <c r="G102" s="96">
        <v>153.03757672234005</v>
      </c>
      <c r="H102" s="96">
        <v>154.40944678216002</v>
      </c>
      <c r="I102" s="96">
        <v>154.08538463942003</v>
      </c>
      <c r="J102" s="96">
        <v>157.09160456464002</v>
      </c>
      <c r="K102" s="96">
        <v>156.5677006061</v>
      </c>
      <c r="L102" s="96">
        <v>153.03757672234005</v>
      </c>
      <c r="M102" s="96">
        <v>153.88554282362003</v>
      </c>
      <c r="N102" s="96">
        <v>154.40944678216002</v>
      </c>
      <c r="O102" s="96">
        <v>154.08538463942003</v>
      </c>
      <c r="P102" s="96">
        <v>156.5677006061</v>
      </c>
      <c r="Q102" s="96">
        <v>153.03757672234005</v>
      </c>
      <c r="R102" s="96">
        <v>153.03757672234005</v>
      </c>
      <c r="S102" s="96">
        <v>153.88554282362003</v>
      </c>
      <c r="T102" s="96">
        <v>154.08538463942003</v>
      </c>
      <c r="U102" s="96">
        <v>157.09160456464002</v>
      </c>
      <c r="V102" s="96">
        <v>156.5677006061</v>
      </c>
      <c r="W102" s="96">
        <v>153.03757672234005</v>
      </c>
      <c r="X102" s="96">
        <v>153.88554282362003</v>
      </c>
      <c r="Y102" s="96">
        <v>154.40944678216002</v>
      </c>
      <c r="Z102" s="96">
        <v>154.08538463942003</v>
      </c>
      <c r="AA102" s="96">
        <v>157.09160456464002</v>
      </c>
      <c r="AB102" s="96">
        <v>153.03757672234005</v>
      </c>
      <c r="AC102" s="96">
        <v>153.03757672234005</v>
      </c>
      <c r="AD102" s="96">
        <v>153.88554282362003</v>
      </c>
      <c r="AE102" s="96">
        <v>154.40944678216002</v>
      </c>
      <c r="AF102" s="96">
        <v>157.09160456464002</v>
      </c>
      <c r="AG102" s="96">
        <v>156.5677006061</v>
      </c>
      <c r="AH102" s="96">
        <v>153.03757672234005</v>
      </c>
    </row>
    <row r="103" spans="1:34" x14ac:dyDescent="0.3">
      <c r="A103" s="96" t="s">
        <v>133</v>
      </c>
      <c r="B103" s="96" t="str">
        <f t="shared" si="1"/>
        <v>Default-Solar - Tracking-F</v>
      </c>
      <c r="C103" s="96" t="s">
        <v>134</v>
      </c>
      <c r="D103" s="96" t="s">
        <v>109</v>
      </c>
      <c r="E103" s="96">
        <v>160.15633113684015</v>
      </c>
      <c r="F103" s="96">
        <v>156.62698748346025</v>
      </c>
      <c r="G103" s="96">
        <v>156.62698748346025</v>
      </c>
      <c r="H103" s="96">
        <v>158.09743868094014</v>
      </c>
      <c r="I103" s="96">
        <v>157.51893690702016</v>
      </c>
      <c r="J103" s="96">
        <v>160.60230584862012</v>
      </c>
      <c r="K103" s="96">
        <v>160.15633113684015</v>
      </c>
      <c r="L103" s="96">
        <v>156.62698748346025</v>
      </c>
      <c r="M103" s="96">
        <v>157.6514639691602</v>
      </c>
      <c r="N103" s="96">
        <v>158.09743868094014</v>
      </c>
      <c r="O103" s="96">
        <v>157.51893690702016</v>
      </c>
      <c r="P103" s="96">
        <v>160.15633113684015</v>
      </c>
      <c r="Q103" s="96">
        <v>156.62698748346025</v>
      </c>
      <c r="R103" s="96">
        <v>156.62698748346025</v>
      </c>
      <c r="S103" s="96">
        <v>157.6514639691602</v>
      </c>
      <c r="T103" s="96">
        <v>157.51893690702016</v>
      </c>
      <c r="U103" s="96">
        <v>160.60230584862012</v>
      </c>
      <c r="V103" s="96">
        <v>160.15633113684015</v>
      </c>
      <c r="W103" s="96">
        <v>156.62698748346025</v>
      </c>
      <c r="X103" s="96">
        <v>157.6514639691602</v>
      </c>
      <c r="Y103" s="96">
        <v>158.09743868094014</v>
      </c>
      <c r="Z103" s="96">
        <v>157.51893690702016</v>
      </c>
      <c r="AA103" s="96">
        <v>160.60230584862012</v>
      </c>
      <c r="AB103" s="96">
        <v>156.62698748346025</v>
      </c>
      <c r="AC103" s="96">
        <v>156.62698748346025</v>
      </c>
      <c r="AD103" s="96">
        <v>157.6514639691602</v>
      </c>
      <c r="AE103" s="96">
        <v>158.09743868094014</v>
      </c>
      <c r="AF103" s="96">
        <v>160.60230584862012</v>
      </c>
      <c r="AG103" s="96">
        <v>160.15633113684015</v>
      </c>
      <c r="AH103" s="96">
        <v>156.62698748346025</v>
      </c>
    </row>
    <row r="104" spans="1:34" x14ac:dyDescent="0.3">
      <c r="A104" s="96" t="s">
        <v>133</v>
      </c>
      <c r="B104" s="96" t="str">
        <f t="shared" si="1"/>
        <v>Default-Solar - Tracking-G</v>
      </c>
      <c r="C104" s="96" t="s">
        <v>134</v>
      </c>
      <c r="D104" s="96" t="s">
        <v>110</v>
      </c>
      <c r="E104" s="96">
        <v>157.64231475546009</v>
      </c>
      <c r="F104" s="96">
        <v>154.13951102334005</v>
      </c>
      <c r="G104" s="96">
        <v>154.13951102334005</v>
      </c>
      <c r="H104" s="96">
        <v>155.64950564127005</v>
      </c>
      <c r="I104" s="96">
        <v>155.06141005698007</v>
      </c>
      <c r="J104" s="96">
        <v>158.10326427228009</v>
      </c>
      <c r="K104" s="96">
        <v>157.64231475546009</v>
      </c>
      <c r="L104" s="96">
        <v>154.13951102334005</v>
      </c>
      <c r="M104" s="96">
        <v>155.18855612445003</v>
      </c>
      <c r="N104" s="96">
        <v>155.64950564127005</v>
      </c>
      <c r="O104" s="96">
        <v>155.06141005698007</v>
      </c>
      <c r="P104" s="96">
        <v>157.64231475546009</v>
      </c>
      <c r="Q104" s="96">
        <v>154.13951102334005</v>
      </c>
      <c r="R104" s="96">
        <v>154.13951102334005</v>
      </c>
      <c r="S104" s="96">
        <v>155.18855612445003</v>
      </c>
      <c r="T104" s="96">
        <v>155.06141005698007</v>
      </c>
      <c r="U104" s="96">
        <v>158.10326427228009</v>
      </c>
      <c r="V104" s="96">
        <v>157.64231475546009</v>
      </c>
      <c r="W104" s="96">
        <v>154.13951102334005</v>
      </c>
      <c r="X104" s="96">
        <v>155.18855612445003</v>
      </c>
      <c r="Y104" s="96">
        <v>155.64950564127005</v>
      </c>
      <c r="Z104" s="96">
        <v>155.06141005698007</v>
      </c>
      <c r="AA104" s="96">
        <v>158.10326427228009</v>
      </c>
      <c r="AB104" s="96">
        <v>154.13951102334005</v>
      </c>
      <c r="AC104" s="96">
        <v>154.13951102334005</v>
      </c>
      <c r="AD104" s="96">
        <v>155.18855612445003</v>
      </c>
      <c r="AE104" s="96">
        <v>155.64950564127005</v>
      </c>
      <c r="AF104" s="96">
        <v>158.10326427228009</v>
      </c>
      <c r="AG104" s="96">
        <v>157.64231475546009</v>
      </c>
      <c r="AH104" s="96">
        <v>154.13951102334005</v>
      </c>
    </row>
    <row r="105" spans="1:34" x14ac:dyDescent="0.3">
      <c r="A105" s="96" t="s">
        <v>133</v>
      </c>
      <c r="B105" s="96" t="str">
        <f t="shared" si="1"/>
        <v>ConEd (11am-3pm)-Solar - Tracking-H</v>
      </c>
      <c r="C105" s="96" t="s">
        <v>129</v>
      </c>
      <c r="D105" s="96" t="s">
        <v>111</v>
      </c>
      <c r="E105" s="96">
        <v>161.05052719901994</v>
      </c>
      <c r="F105" s="96">
        <v>157.92845961846001</v>
      </c>
      <c r="G105" s="96">
        <v>157.92845961846001</v>
      </c>
      <c r="H105" s="96">
        <v>158.8364419013399</v>
      </c>
      <c r="I105" s="96">
        <v>158.29631375429997</v>
      </c>
      <c r="J105" s="96">
        <v>161.23445426693991</v>
      </c>
      <c r="K105" s="96">
        <v>161.05052719901994</v>
      </c>
      <c r="L105" s="96">
        <v>157.92845961846001</v>
      </c>
      <c r="M105" s="96">
        <v>158.65251483341996</v>
      </c>
      <c r="N105" s="96">
        <v>158.8364419013399</v>
      </c>
      <c r="O105" s="96">
        <v>158.29631375429997</v>
      </c>
      <c r="P105" s="96">
        <v>161.05052719901994</v>
      </c>
      <c r="Q105" s="96">
        <v>157.92845961846001</v>
      </c>
      <c r="R105" s="96">
        <v>157.92845961846001</v>
      </c>
      <c r="S105" s="96">
        <v>158.65251483341996</v>
      </c>
      <c r="T105" s="96">
        <v>158.29631375429997</v>
      </c>
      <c r="U105" s="96">
        <v>161.23445426693991</v>
      </c>
      <c r="V105" s="96">
        <v>161.05052719901994</v>
      </c>
      <c r="W105" s="96">
        <v>157.92845961846001</v>
      </c>
      <c r="X105" s="96">
        <v>158.65251483341996</v>
      </c>
      <c r="Y105" s="96">
        <v>158.8364419013399</v>
      </c>
      <c r="Z105" s="96">
        <v>158.29631375429997</v>
      </c>
      <c r="AA105" s="96">
        <v>161.23445426693991</v>
      </c>
      <c r="AB105" s="96">
        <v>157.92845961846001</v>
      </c>
      <c r="AC105" s="96">
        <v>157.92845961846001</v>
      </c>
      <c r="AD105" s="96">
        <v>158.65251483341996</v>
      </c>
      <c r="AE105" s="96">
        <v>158.8364419013399</v>
      </c>
      <c r="AF105" s="96">
        <v>161.23445426693991</v>
      </c>
      <c r="AG105" s="96">
        <v>161.05052719901994</v>
      </c>
      <c r="AH105" s="96">
        <v>157.92845961846001</v>
      </c>
    </row>
    <row r="106" spans="1:34" x14ac:dyDescent="0.3">
      <c r="A106" s="96" t="s">
        <v>133</v>
      </c>
      <c r="B106" s="96" t="str">
        <f t="shared" si="1"/>
        <v>ConEd (2pm-6pm)-Solar - Tracking-H</v>
      </c>
      <c r="C106" s="96" t="s">
        <v>130</v>
      </c>
      <c r="D106" s="96" t="s">
        <v>111</v>
      </c>
      <c r="E106" s="96">
        <v>136.77641520852012</v>
      </c>
      <c r="F106" s="96">
        <v>133.89232279470005</v>
      </c>
      <c r="G106" s="96">
        <v>133.89232279470005</v>
      </c>
      <c r="H106" s="96">
        <v>134.94262628814013</v>
      </c>
      <c r="I106" s="96">
        <v>134.52225050322011</v>
      </c>
      <c r="J106" s="96">
        <v>137.09137906278013</v>
      </c>
      <c r="K106" s="96">
        <v>136.77641520852012</v>
      </c>
      <c r="L106" s="96">
        <v>133.89232279470005</v>
      </c>
      <c r="M106" s="96">
        <v>134.62766243388012</v>
      </c>
      <c r="N106" s="96">
        <v>134.94262628814013</v>
      </c>
      <c r="O106" s="96">
        <v>134.52225050322011</v>
      </c>
      <c r="P106" s="96">
        <v>136.77641520852012</v>
      </c>
      <c r="Q106" s="96">
        <v>133.89232279470005</v>
      </c>
      <c r="R106" s="96">
        <v>133.89232279470005</v>
      </c>
      <c r="S106" s="96">
        <v>134.62766243388012</v>
      </c>
      <c r="T106" s="96">
        <v>134.52225050322011</v>
      </c>
      <c r="U106" s="96">
        <v>137.09137906278013</v>
      </c>
      <c r="V106" s="96">
        <v>136.77641520852012</v>
      </c>
      <c r="W106" s="96">
        <v>133.89232279470005</v>
      </c>
      <c r="X106" s="96">
        <v>134.62766243388012</v>
      </c>
      <c r="Y106" s="96">
        <v>134.94262628814013</v>
      </c>
      <c r="Z106" s="96">
        <v>134.52225050322011</v>
      </c>
      <c r="AA106" s="96">
        <v>137.09137906278013</v>
      </c>
      <c r="AB106" s="96">
        <v>133.89232279470005</v>
      </c>
      <c r="AC106" s="96">
        <v>133.89232279470005</v>
      </c>
      <c r="AD106" s="96">
        <v>134.62766243388012</v>
      </c>
      <c r="AE106" s="96">
        <v>134.94262628814013</v>
      </c>
      <c r="AF106" s="96">
        <v>137.09137906278013</v>
      </c>
      <c r="AG106" s="96">
        <v>136.77641520852012</v>
      </c>
      <c r="AH106" s="96">
        <v>133.89232279470005</v>
      </c>
    </row>
    <row r="107" spans="1:34" x14ac:dyDescent="0.3">
      <c r="A107" s="96" t="s">
        <v>133</v>
      </c>
      <c r="B107" s="96" t="str">
        <f t="shared" si="1"/>
        <v>ConEd (4pm-8pm)-Solar - Tracking-H</v>
      </c>
      <c r="C107" s="96" t="s">
        <v>131</v>
      </c>
      <c r="D107" s="96" t="s">
        <v>111</v>
      </c>
      <c r="E107" s="96">
        <v>85.976322450299975</v>
      </c>
      <c r="F107" s="96">
        <v>83.67809269866008</v>
      </c>
      <c r="G107" s="96">
        <v>83.67809269866008</v>
      </c>
      <c r="H107" s="96">
        <v>85.085140461299972</v>
      </c>
      <c r="I107" s="96">
        <v>84.660508963379968</v>
      </c>
      <c r="J107" s="96">
        <v>86.467530582659975</v>
      </c>
      <c r="K107" s="96">
        <v>85.976322450299975</v>
      </c>
      <c r="L107" s="96">
        <v>83.67809269866008</v>
      </c>
      <c r="M107" s="96">
        <v>84.593932328940014</v>
      </c>
      <c r="N107" s="96">
        <v>85.085140461299972</v>
      </c>
      <c r="O107" s="96">
        <v>84.660508963379968</v>
      </c>
      <c r="P107" s="96">
        <v>85.976322450299975</v>
      </c>
      <c r="Q107" s="96">
        <v>83.67809269866008</v>
      </c>
      <c r="R107" s="96">
        <v>83.67809269866008</v>
      </c>
      <c r="S107" s="96">
        <v>84.593932328940014</v>
      </c>
      <c r="T107" s="96">
        <v>84.660508963379968</v>
      </c>
      <c r="U107" s="96">
        <v>86.467530582659975</v>
      </c>
      <c r="V107" s="96">
        <v>85.976322450299975</v>
      </c>
      <c r="W107" s="96">
        <v>83.67809269866008</v>
      </c>
      <c r="X107" s="96">
        <v>84.593932328940014</v>
      </c>
      <c r="Y107" s="96">
        <v>85.085140461299972</v>
      </c>
      <c r="Z107" s="96">
        <v>84.660508963379968</v>
      </c>
      <c r="AA107" s="96">
        <v>86.467530582659975</v>
      </c>
      <c r="AB107" s="96">
        <v>83.67809269866008</v>
      </c>
      <c r="AC107" s="96">
        <v>83.67809269866008</v>
      </c>
      <c r="AD107" s="96">
        <v>84.593932328940014</v>
      </c>
      <c r="AE107" s="96">
        <v>85.085140461299972</v>
      </c>
      <c r="AF107" s="96">
        <v>86.467530582659975</v>
      </c>
      <c r="AG107" s="96">
        <v>85.976322450299975</v>
      </c>
      <c r="AH107" s="96">
        <v>83.67809269866008</v>
      </c>
    </row>
    <row r="108" spans="1:34" x14ac:dyDescent="0.3">
      <c r="A108" s="96" t="s">
        <v>133</v>
      </c>
      <c r="B108" s="96" t="str">
        <f t="shared" si="1"/>
        <v>ConEd (7pm-11pm)-Solar - Tracking-H</v>
      </c>
      <c r="C108" s="96" t="s">
        <v>132</v>
      </c>
      <c r="D108" s="96" t="s">
        <v>111</v>
      </c>
      <c r="E108" s="96">
        <v>5.0224217738399997</v>
      </c>
      <c r="F108" s="96">
        <v>4.7480521306799996</v>
      </c>
      <c r="G108" s="96">
        <v>4.7480521306799996</v>
      </c>
      <c r="H108" s="96">
        <v>5.0224217738399997</v>
      </c>
      <c r="I108" s="96">
        <v>4.9828431364799997</v>
      </c>
      <c r="J108" s="96">
        <v>5.1398172767399988</v>
      </c>
      <c r="K108" s="96">
        <v>5.0224217738399997</v>
      </c>
      <c r="L108" s="96">
        <v>4.7480521306799996</v>
      </c>
      <c r="M108" s="96">
        <v>4.9050262709399997</v>
      </c>
      <c r="N108" s="96">
        <v>5.0224217738399997</v>
      </c>
      <c r="O108" s="96">
        <v>4.9828431364799997</v>
      </c>
      <c r="P108" s="96">
        <v>5.0224217738399997</v>
      </c>
      <c r="Q108" s="96">
        <v>4.7480521306799996</v>
      </c>
      <c r="R108" s="96">
        <v>4.7480521306799996</v>
      </c>
      <c r="S108" s="96">
        <v>4.9050262709399997</v>
      </c>
      <c r="T108" s="96">
        <v>4.9828431364799997</v>
      </c>
      <c r="U108" s="96">
        <v>5.1398172767399988</v>
      </c>
      <c r="V108" s="96">
        <v>5.0224217738399997</v>
      </c>
      <c r="W108" s="96">
        <v>4.7480521306799996</v>
      </c>
      <c r="X108" s="96">
        <v>4.9050262709399997</v>
      </c>
      <c r="Y108" s="96">
        <v>5.0224217738399997</v>
      </c>
      <c r="Z108" s="96">
        <v>4.9828431364799997</v>
      </c>
      <c r="AA108" s="96">
        <v>5.1398172767399988</v>
      </c>
      <c r="AB108" s="96">
        <v>4.7480521306799996</v>
      </c>
      <c r="AC108" s="96">
        <v>4.7480521306799996</v>
      </c>
      <c r="AD108" s="96">
        <v>4.9050262709399997</v>
      </c>
      <c r="AE108" s="96">
        <v>5.0224217738399997</v>
      </c>
      <c r="AF108" s="96">
        <v>5.1398172767399988</v>
      </c>
      <c r="AG108" s="96">
        <v>5.0224217738399997</v>
      </c>
      <c r="AH108" s="96">
        <v>4.7480521306799996</v>
      </c>
    </row>
    <row r="109" spans="1:34" x14ac:dyDescent="0.3">
      <c r="A109" s="96" t="s">
        <v>133</v>
      </c>
      <c r="B109" s="96" t="str">
        <f t="shared" si="1"/>
        <v>Default-Solar - Tracking-H</v>
      </c>
      <c r="C109" s="96" t="s">
        <v>134</v>
      </c>
      <c r="D109" s="96" t="s">
        <v>111</v>
      </c>
      <c r="E109" s="96">
        <v>155.12829837408037</v>
      </c>
      <c r="F109" s="96">
        <v>151.65203456322038</v>
      </c>
      <c r="G109" s="96">
        <v>151.65203456322038</v>
      </c>
      <c r="H109" s="96">
        <v>153.20157260160039</v>
      </c>
      <c r="I109" s="96">
        <v>152.60388320694034</v>
      </c>
      <c r="J109" s="96">
        <v>155.60422269594036</v>
      </c>
      <c r="K109" s="96">
        <v>155.12829837408037</v>
      </c>
      <c r="L109" s="96">
        <v>151.65203456322038</v>
      </c>
      <c r="M109" s="96">
        <v>152.72564827974043</v>
      </c>
      <c r="N109" s="96">
        <v>153.20157260160039</v>
      </c>
      <c r="O109" s="96">
        <v>152.60388320694034</v>
      </c>
      <c r="P109" s="96">
        <v>155.12829837408037</v>
      </c>
      <c r="Q109" s="96">
        <v>151.65203456322038</v>
      </c>
      <c r="R109" s="96">
        <v>151.65203456322038</v>
      </c>
      <c r="S109" s="96">
        <v>152.72564827974043</v>
      </c>
      <c r="T109" s="96">
        <v>152.60388320694034</v>
      </c>
      <c r="U109" s="96">
        <v>155.60422269594036</v>
      </c>
      <c r="V109" s="96">
        <v>155.12829837408037</v>
      </c>
      <c r="W109" s="96">
        <v>151.65203456322038</v>
      </c>
      <c r="X109" s="96">
        <v>152.72564827974043</v>
      </c>
      <c r="Y109" s="96">
        <v>153.20157260160039</v>
      </c>
      <c r="Z109" s="96">
        <v>152.60388320694034</v>
      </c>
      <c r="AA109" s="96">
        <v>155.60422269594036</v>
      </c>
      <c r="AB109" s="96">
        <v>151.65203456322038</v>
      </c>
      <c r="AC109" s="96">
        <v>151.65203456322038</v>
      </c>
      <c r="AD109" s="96">
        <v>152.72564827974043</v>
      </c>
      <c r="AE109" s="96">
        <v>153.20157260160039</v>
      </c>
      <c r="AF109" s="96">
        <v>155.60422269594036</v>
      </c>
      <c r="AG109" s="96">
        <v>155.12829837408037</v>
      </c>
      <c r="AH109" s="96">
        <v>151.65203456322038</v>
      </c>
    </row>
    <row r="110" spans="1:34" x14ac:dyDescent="0.3">
      <c r="A110" s="96" t="s">
        <v>133</v>
      </c>
      <c r="B110" s="96" t="str">
        <f t="shared" si="1"/>
        <v>ConEd (11am-3pm)-Solar - Tracking-I</v>
      </c>
      <c r="C110" s="96" t="s">
        <v>129</v>
      </c>
      <c r="D110" s="96" t="s">
        <v>112</v>
      </c>
      <c r="E110" s="96">
        <v>161.05052719901994</v>
      </c>
      <c r="F110" s="96">
        <v>157.92845961846001</v>
      </c>
      <c r="G110" s="96">
        <v>157.92845961846001</v>
      </c>
      <c r="H110" s="96">
        <v>158.8364419013399</v>
      </c>
      <c r="I110" s="96">
        <v>158.29631375429997</v>
      </c>
      <c r="J110" s="96">
        <v>161.23445426693991</v>
      </c>
      <c r="K110" s="96">
        <v>161.05052719901994</v>
      </c>
      <c r="L110" s="96">
        <v>157.92845961846001</v>
      </c>
      <c r="M110" s="96">
        <v>158.65251483341996</v>
      </c>
      <c r="N110" s="96">
        <v>158.8364419013399</v>
      </c>
      <c r="O110" s="96">
        <v>158.29631375429997</v>
      </c>
      <c r="P110" s="96">
        <v>161.05052719901994</v>
      </c>
      <c r="Q110" s="96">
        <v>157.92845961846001</v>
      </c>
      <c r="R110" s="96">
        <v>157.92845961846001</v>
      </c>
      <c r="S110" s="96">
        <v>158.65251483341996</v>
      </c>
      <c r="T110" s="96">
        <v>158.29631375429997</v>
      </c>
      <c r="U110" s="96">
        <v>161.23445426693991</v>
      </c>
      <c r="V110" s="96">
        <v>161.05052719901994</v>
      </c>
      <c r="W110" s="96">
        <v>157.92845961846001</v>
      </c>
      <c r="X110" s="96">
        <v>158.65251483341996</v>
      </c>
      <c r="Y110" s="96">
        <v>158.8364419013399</v>
      </c>
      <c r="Z110" s="96">
        <v>158.29631375429997</v>
      </c>
      <c r="AA110" s="96">
        <v>161.23445426693991</v>
      </c>
      <c r="AB110" s="96">
        <v>157.92845961846001</v>
      </c>
      <c r="AC110" s="96">
        <v>157.92845961846001</v>
      </c>
      <c r="AD110" s="96">
        <v>158.65251483341996</v>
      </c>
      <c r="AE110" s="96">
        <v>158.8364419013399</v>
      </c>
      <c r="AF110" s="96">
        <v>161.23445426693991</v>
      </c>
      <c r="AG110" s="96">
        <v>161.05052719901994</v>
      </c>
      <c r="AH110" s="96">
        <v>157.92845961846001</v>
      </c>
    </row>
    <row r="111" spans="1:34" x14ac:dyDescent="0.3">
      <c r="A111" s="96" t="s">
        <v>133</v>
      </c>
      <c r="B111" s="96" t="str">
        <f t="shared" si="1"/>
        <v>ConEd (2pm-6pm)-Solar - Tracking-I</v>
      </c>
      <c r="C111" s="96" t="s">
        <v>130</v>
      </c>
      <c r="D111" s="96" t="s">
        <v>112</v>
      </c>
      <c r="E111" s="96">
        <v>136.77641520852012</v>
      </c>
      <c r="F111" s="96">
        <v>133.89232279470005</v>
      </c>
      <c r="G111" s="96">
        <v>133.89232279470005</v>
      </c>
      <c r="H111" s="96">
        <v>134.94262628814013</v>
      </c>
      <c r="I111" s="96">
        <v>134.52225050322011</v>
      </c>
      <c r="J111" s="96">
        <v>137.09137906278013</v>
      </c>
      <c r="K111" s="96">
        <v>136.77641520852012</v>
      </c>
      <c r="L111" s="96">
        <v>133.89232279470005</v>
      </c>
      <c r="M111" s="96">
        <v>134.62766243388012</v>
      </c>
      <c r="N111" s="96">
        <v>134.94262628814013</v>
      </c>
      <c r="O111" s="96">
        <v>134.52225050322011</v>
      </c>
      <c r="P111" s="96">
        <v>136.77641520852012</v>
      </c>
      <c r="Q111" s="96">
        <v>133.89232279470005</v>
      </c>
      <c r="R111" s="96">
        <v>133.89232279470005</v>
      </c>
      <c r="S111" s="96">
        <v>134.62766243388012</v>
      </c>
      <c r="T111" s="96">
        <v>134.52225050322011</v>
      </c>
      <c r="U111" s="96">
        <v>137.09137906278013</v>
      </c>
      <c r="V111" s="96">
        <v>136.77641520852012</v>
      </c>
      <c r="W111" s="96">
        <v>133.89232279470005</v>
      </c>
      <c r="X111" s="96">
        <v>134.62766243388012</v>
      </c>
      <c r="Y111" s="96">
        <v>134.94262628814013</v>
      </c>
      <c r="Z111" s="96">
        <v>134.52225050322011</v>
      </c>
      <c r="AA111" s="96">
        <v>137.09137906278013</v>
      </c>
      <c r="AB111" s="96">
        <v>133.89232279470005</v>
      </c>
      <c r="AC111" s="96">
        <v>133.89232279470005</v>
      </c>
      <c r="AD111" s="96">
        <v>134.62766243388012</v>
      </c>
      <c r="AE111" s="96">
        <v>134.94262628814013</v>
      </c>
      <c r="AF111" s="96">
        <v>137.09137906278013</v>
      </c>
      <c r="AG111" s="96">
        <v>136.77641520852012</v>
      </c>
      <c r="AH111" s="96">
        <v>133.89232279470005</v>
      </c>
    </row>
    <row r="112" spans="1:34" x14ac:dyDescent="0.3">
      <c r="A112" s="96" t="s">
        <v>133</v>
      </c>
      <c r="B112" s="96" t="str">
        <f t="shared" si="1"/>
        <v>ConEd (4pm-8pm)-Solar - Tracking-I</v>
      </c>
      <c r="C112" s="96" t="s">
        <v>131</v>
      </c>
      <c r="D112" s="96" t="s">
        <v>112</v>
      </c>
      <c r="E112" s="96">
        <v>85.976322450299975</v>
      </c>
      <c r="F112" s="96">
        <v>83.67809269866008</v>
      </c>
      <c r="G112" s="96">
        <v>83.67809269866008</v>
      </c>
      <c r="H112" s="96">
        <v>85.085140461299972</v>
      </c>
      <c r="I112" s="96">
        <v>84.660508963379968</v>
      </c>
      <c r="J112" s="96">
        <v>86.467530582659975</v>
      </c>
      <c r="K112" s="96">
        <v>85.976322450299975</v>
      </c>
      <c r="L112" s="96">
        <v>83.67809269866008</v>
      </c>
      <c r="M112" s="96">
        <v>84.593932328940014</v>
      </c>
      <c r="N112" s="96">
        <v>85.085140461299972</v>
      </c>
      <c r="O112" s="96">
        <v>84.660508963379968</v>
      </c>
      <c r="P112" s="96">
        <v>85.976322450299975</v>
      </c>
      <c r="Q112" s="96">
        <v>83.67809269866008</v>
      </c>
      <c r="R112" s="96">
        <v>83.67809269866008</v>
      </c>
      <c r="S112" s="96">
        <v>84.593932328940014</v>
      </c>
      <c r="T112" s="96">
        <v>84.660508963379968</v>
      </c>
      <c r="U112" s="96">
        <v>86.467530582659975</v>
      </c>
      <c r="V112" s="96">
        <v>85.976322450299975</v>
      </c>
      <c r="W112" s="96">
        <v>83.67809269866008</v>
      </c>
      <c r="X112" s="96">
        <v>84.593932328940014</v>
      </c>
      <c r="Y112" s="96">
        <v>85.085140461299972</v>
      </c>
      <c r="Z112" s="96">
        <v>84.660508963379968</v>
      </c>
      <c r="AA112" s="96">
        <v>86.467530582659975</v>
      </c>
      <c r="AB112" s="96">
        <v>83.67809269866008</v>
      </c>
      <c r="AC112" s="96">
        <v>83.67809269866008</v>
      </c>
      <c r="AD112" s="96">
        <v>84.593932328940014</v>
      </c>
      <c r="AE112" s="96">
        <v>85.085140461299972</v>
      </c>
      <c r="AF112" s="96">
        <v>86.467530582659975</v>
      </c>
      <c r="AG112" s="96">
        <v>85.976322450299975</v>
      </c>
      <c r="AH112" s="96">
        <v>83.67809269866008</v>
      </c>
    </row>
    <row r="113" spans="1:34" x14ac:dyDescent="0.3">
      <c r="A113" s="96" t="s">
        <v>133</v>
      </c>
      <c r="B113" s="96" t="str">
        <f t="shared" si="1"/>
        <v>ConEd (7pm-11pm)-Solar - Tracking-I</v>
      </c>
      <c r="C113" s="96" t="s">
        <v>132</v>
      </c>
      <c r="D113" s="96" t="s">
        <v>112</v>
      </c>
      <c r="E113" s="96">
        <v>5.0224217738399997</v>
      </c>
      <c r="F113" s="96">
        <v>4.7480521306799996</v>
      </c>
      <c r="G113" s="96">
        <v>4.7480521306799996</v>
      </c>
      <c r="H113" s="96">
        <v>5.0224217738399997</v>
      </c>
      <c r="I113" s="96">
        <v>4.9828431364799997</v>
      </c>
      <c r="J113" s="96">
        <v>5.1398172767399988</v>
      </c>
      <c r="K113" s="96">
        <v>5.0224217738399997</v>
      </c>
      <c r="L113" s="96">
        <v>4.7480521306799996</v>
      </c>
      <c r="M113" s="96">
        <v>4.9050262709399997</v>
      </c>
      <c r="N113" s="96">
        <v>5.0224217738399997</v>
      </c>
      <c r="O113" s="96">
        <v>4.9828431364799997</v>
      </c>
      <c r="P113" s="96">
        <v>5.0224217738399997</v>
      </c>
      <c r="Q113" s="96">
        <v>4.7480521306799996</v>
      </c>
      <c r="R113" s="96">
        <v>4.7480521306799996</v>
      </c>
      <c r="S113" s="96">
        <v>4.9050262709399997</v>
      </c>
      <c r="T113" s="96">
        <v>4.9828431364799997</v>
      </c>
      <c r="U113" s="96">
        <v>5.1398172767399988</v>
      </c>
      <c r="V113" s="96">
        <v>5.0224217738399997</v>
      </c>
      <c r="W113" s="96">
        <v>4.7480521306799996</v>
      </c>
      <c r="X113" s="96">
        <v>4.9050262709399997</v>
      </c>
      <c r="Y113" s="96">
        <v>5.0224217738399997</v>
      </c>
      <c r="Z113" s="96">
        <v>4.9828431364799997</v>
      </c>
      <c r="AA113" s="96">
        <v>5.1398172767399988</v>
      </c>
      <c r="AB113" s="96">
        <v>4.7480521306799996</v>
      </c>
      <c r="AC113" s="96">
        <v>4.7480521306799996</v>
      </c>
      <c r="AD113" s="96">
        <v>4.9050262709399997</v>
      </c>
      <c r="AE113" s="96">
        <v>5.0224217738399997</v>
      </c>
      <c r="AF113" s="96">
        <v>5.1398172767399988</v>
      </c>
      <c r="AG113" s="96">
        <v>5.0224217738399997</v>
      </c>
      <c r="AH113" s="96">
        <v>4.7480521306799996</v>
      </c>
    </row>
    <row r="114" spans="1:34" x14ac:dyDescent="0.3">
      <c r="A114" s="96" t="s">
        <v>133</v>
      </c>
      <c r="B114" s="96" t="str">
        <f t="shared" si="1"/>
        <v>Default-Solar - Tracking-I</v>
      </c>
      <c r="C114" s="96" t="s">
        <v>134</v>
      </c>
      <c r="D114" s="96" t="s">
        <v>112</v>
      </c>
      <c r="E114" s="96">
        <v>155.12829837408037</v>
      </c>
      <c r="F114" s="96">
        <v>151.65203456322038</v>
      </c>
      <c r="G114" s="96">
        <v>151.65203456322038</v>
      </c>
      <c r="H114" s="96">
        <v>153.20157260160039</v>
      </c>
      <c r="I114" s="96">
        <v>152.60388320694034</v>
      </c>
      <c r="J114" s="96">
        <v>155.60422269594036</v>
      </c>
      <c r="K114" s="96">
        <v>155.12829837408037</v>
      </c>
      <c r="L114" s="96">
        <v>151.65203456322038</v>
      </c>
      <c r="M114" s="96">
        <v>152.72564827974043</v>
      </c>
      <c r="N114" s="96">
        <v>153.20157260160039</v>
      </c>
      <c r="O114" s="96">
        <v>152.60388320694034</v>
      </c>
      <c r="P114" s="96">
        <v>155.12829837408037</v>
      </c>
      <c r="Q114" s="96">
        <v>151.65203456322038</v>
      </c>
      <c r="R114" s="96">
        <v>151.65203456322038</v>
      </c>
      <c r="S114" s="96">
        <v>152.72564827974043</v>
      </c>
      <c r="T114" s="96">
        <v>152.60388320694034</v>
      </c>
      <c r="U114" s="96">
        <v>155.60422269594036</v>
      </c>
      <c r="V114" s="96">
        <v>155.12829837408037</v>
      </c>
      <c r="W114" s="96">
        <v>151.65203456322038</v>
      </c>
      <c r="X114" s="96">
        <v>152.72564827974043</v>
      </c>
      <c r="Y114" s="96">
        <v>153.20157260160039</v>
      </c>
      <c r="Z114" s="96">
        <v>152.60388320694034</v>
      </c>
      <c r="AA114" s="96">
        <v>155.60422269594036</v>
      </c>
      <c r="AB114" s="96">
        <v>151.65203456322038</v>
      </c>
      <c r="AC114" s="96">
        <v>151.65203456322038</v>
      </c>
      <c r="AD114" s="96">
        <v>152.72564827974043</v>
      </c>
      <c r="AE114" s="96">
        <v>153.20157260160039</v>
      </c>
      <c r="AF114" s="96">
        <v>155.60422269594036</v>
      </c>
      <c r="AG114" s="96">
        <v>155.12829837408037</v>
      </c>
      <c r="AH114" s="96">
        <v>151.65203456322038</v>
      </c>
    </row>
    <row r="115" spans="1:34" x14ac:dyDescent="0.3">
      <c r="A115" s="96" t="s">
        <v>133</v>
      </c>
      <c r="B115" s="96" t="str">
        <f t="shared" si="1"/>
        <v>ConEd (11am-3pm)-Solar - Tracking-J</v>
      </c>
      <c r="C115" s="96" t="s">
        <v>129</v>
      </c>
      <c r="D115" s="96" t="s">
        <v>113</v>
      </c>
      <c r="E115" s="96">
        <v>161.05052719901994</v>
      </c>
      <c r="F115" s="96">
        <v>157.92845961846001</v>
      </c>
      <c r="G115" s="96">
        <v>157.92845961846001</v>
      </c>
      <c r="H115" s="96">
        <v>158.8364419013399</v>
      </c>
      <c r="I115" s="96">
        <v>158.29631375429997</v>
      </c>
      <c r="J115" s="96">
        <v>161.23445426693991</v>
      </c>
      <c r="K115" s="96">
        <v>161.05052719901994</v>
      </c>
      <c r="L115" s="96">
        <v>157.92845961846001</v>
      </c>
      <c r="M115" s="96">
        <v>158.65251483341996</v>
      </c>
      <c r="N115" s="96">
        <v>158.8364419013399</v>
      </c>
      <c r="O115" s="96">
        <v>158.29631375429997</v>
      </c>
      <c r="P115" s="96">
        <v>161.05052719901994</v>
      </c>
      <c r="Q115" s="96">
        <v>157.92845961846001</v>
      </c>
      <c r="R115" s="96">
        <v>157.92845961846001</v>
      </c>
      <c r="S115" s="96">
        <v>158.65251483341996</v>
      </c>
      <c r="T115" s="96">
        <v>158.29631375429997</v>
      </c>
      <c r="U115" s="96">
        <v>161.23445426693991</v>
      </c>
      <c r="V115" s="96">
        <v>161.05052719901994</v>
      </c>
      <c r="W115" s="96">
        <v>157.92845961846001</v>
      </c>
      <c r="X115" s="96">
        <v>158.65251483341996</v>
      </c>
      <c r="Y115" s="96">
        <v>158.8364419013399</v>
      </c>
      <c r="Z115" s="96">
        <v>158.29631375429997</v>
      </c>
      <c r="AA115" s="96">
        <v>161.23445426693991</v>
      </c>
      <c r="AB115" s="96">
        <v>157.92845961846001</v>
      </c>
      <c r="AC115" s="96">
        <v>157.92845961846001</v>
      </c>
      <c r="AD115" s="96">
        <v>158.65251483341996</v>
      </c>
      <c r="AE115" s="96">
        <v>158.8364419013399</v>
      </c>
      <c r="AF115" s="96">
        <v>161.23445426693991</v>
      </c>
      <c r="AG115" s="96">
        <v>161.05052719901994</v>
      </c>
      <c r="AH115" s="96">
        <v>157.92845961846001</v>
      </c>
    </row>
    <row r="116" spans="1:34" x14ac:dyDescent="0.3">
      <c r="A116" s="96" t="s">
        <v>133</v>
      </c>
      <c r="B116" s="96" t="str">
        <f t="shared" si="1"/>
        <v>ConEd (2pm-6pm)-Solar - Tracking-J</v>
      </c>
      <c r="C116" s="96" t="s">
        <v>130</v>
      </c>
      <c r="D116" s="96" t="s">
        <v>113</v>
      </c>
      <c r="E116" s="96">
        <v>136.77641520852012</v>
      </c>
      <c r="F116" s="96">
        <v>133.89232279470005</v>
      </c>
      <c r="G116" s="96">
        <v>133.89232279470005</v>
      </c>
      <c r="H116" s="96">
        <v>134.94262628814013</v>
      </c>
      <c r="I116" s="96">
        <v>134.52225050322011</v>
      </c>
      <c r="J116" s="96">
        <v>137.09137906278013</v>
      </c>
      <c r="K116" s="96">
        <v>136.77641520852012</v>
      </c>
      <c r="L116" s="96">
        <v>133.89232279470005</v>
      </c>
      <c r="M116" s="96">
        <v>134.62766243388012</v>
      </c>
      <c r="N116" s="96">
        <v>134.94262628814013</v>
      </c>
      <c r="O116" s="96">
        <v>134.52225050322011</v>
      </c>
      <c r="P116" s="96">
        <v>136.77641520852012</v>
      </c>
      <c r="Q116" s="96">
        <v>133.89232279470005</v>
      </c>
      <c r="R116" s="96">
        <v>133.89232279470005</v>
      </c>
      <c r="S116" s="96">
        <v>134.62766243388012</v>
      </c>
      <c r="T116" s="96">
        <v>134.52225050322011</v>
      </c>
      <c r="U116" s="96">
        <v>137.09137906278013</v>
      </c>
      <c r="V116" s="96">
        <v>136.77641520852012</v>
      </c>
      <c r="W116" s="96">
        <v>133.89232279470005</v>
      </c>
      <c r="X116" s="96">
        <v>134.62766243388012</v>
      </c>
      <c r="Y116" s="96">
        <v>134.94262628814013</v>
      </c>
      <c r="Z116" s="96">
        <v>134.52225050322011</v>
      </c>
      <c r="AA116" s="96">
        <v>137.09137906278013</v>
      </c>
      <c r="AB116" s="96">
        <v>133.89232279470005</v>
      </c>
      <c r="AC116" s="96">
        <v>133.89232279470005</v>
      </c>
      <c r="AD116" s="96">
        <v>134.62766243388012</v>
      </c>
      <c r="AE116" s="96">
        <v>134.94262628814013</v>
      </c>
      <c r="AF116" s="96">
        <v>137.09137906278013</v>
      </c>
      <c r="AG116" s="96">
        <v>136.77641520852012</v>
      </c>
      <c r="AH116" s="96">
        <v>133.89232279470005</v>
      </c>
    </row>
    <row r="117" spans="1:34" x14ac:dyDescent="0.3">
      <c r="A117" s="96" t="s">
        <v>133</v>
      </c>
      <c r="B117" s="96" t="str">
        <f t="shared" si="1"/>
        <v>ConEd (4pm-8pm)-Solar - Tracking-J</v>
      </c>
      <c r="C117" s="96" t="s">
        <v>131</v>
      </c>
      <c r="D117" s="96" t="s">
        <v>113</v>
      </c>
      <c r="E117" s="96">
        <v>85.976322450299975</v>
      </c>
      <c r="F117" s="96">
        <v>83.67809269866008</v>
      </c>
      <c r="G117" s="96">
        <v>83.67809269866008</v>
      </c>
      <c r="H117" s="96">
        <v>85.085140461299972</v>
      </c>
      <c r="I117" s="96">
        <v>84.660508963379968</v>
      </c>
      <c r="J117" s="96">
        <v>86.467530582659975</v>
      </c>
      <c r="K117" s="96">
        <v>85.976322450299975</v>
      </c>
      <c r="L117" s="96">
        <v>83.67809269866008</v>
      </c>
      <c r="M117" s="96">
        <v>84.593932328940014</v>
      </c>
      <c r="N117" s="96">
        <v>85.085140461299972</v>
      </c>
      <c r="O117" s="96">
        <v>84.660508963379968</v>
      </c>
      <c r="P117" s="96">
        <v>85.976322450299975</v>
      </c>
      <c r="Q117" s="96">
        <v>83.67809269866008</v>
      </c>
      <c r="R117" s="96">
        <v>83.67809269866008</v>
      </c>
      <c r="S117" s="96">
        <v>84.593932328940014</v>
      </c>
      <c r="T117" s="96">
        <v>84.660508963379968</v>
      </c>
      <c r="U117" s="96">
        <v>86.467530582659975</v>
      </c>
      <c r="V117" s="96">
        <v>85.976322450299975</v>
      </c>
      <c r="W117" s="96">
        <v>83.67809269866008</v>
      </c>
      <c r="X117" s="96">
        <v>84.593932328940014</v>
      </c>
      <c r="Y117" s="96">
        <v>85.085140461299972</v>
      </c>
      <c r="Z117" s="96">
        <v>84.660508963379968</v>
      </c>
      <c r="AA117" s="96">
        <v>86.467530582659975</v>
      </c>
      <c r="AB117" s="96">
        <v>83.67809269866008</v>
      </c>
      <c r="AC117" s="96">
        <v>83.67809269866008</v>
      </c>
      <c r="AD117" s="96">
        <v>84.593932328940014</v>
      </c>
      <c r="AE117" s="96">
        <v>85.085140461299972</v>
      </c>
      <c r="AF117" s="96">
        <v>86.467530582659975</v>
      </c>
      <c r="AG117" s="96">
        <v>85.976322450299975</v>
      </c>
      <c r="AH117" s="96">
        <v>83.67809269866008</v>
      </c>
    </row>
    <row r="118" spans="1:34" x14ac:dyDescent="0.3">
      <c r="A118" s="96" t="s">
        <v>133</v>
      </c>
      <c r="B118" s="96" t="str">
        <f t="shared" si="1"/>
        <v>ConEd (7pm-11pm)-Solar - Tracking-J</v>
      </c>
      <c r="C118" s="96" t="s">
        <v>132</v>
      </c>
      <c r="D118" s="96" t="s">
        <v>113</v>
      </c>
      <c r="E118" s="96">
        <v>5.0224217738399997</v>
      </c>
      <c r="F118" s="96">
        <v>4.7480521306799996</v>
      </c>
      <c r="G118" s="96">
        <v>4.7480521306799996</v>
      </c>
      <c r="H118" s="96">
        <v>5.0224217738399997</v>
      </c>
      <c r="I118" s="96">
        <v>4.9828431364799997</v>
      </c>
      <c r="J118" s="96">
        <v>5.1398172767399988</v>
      </c>
      <c r="K118" s="96">
        <v>5.0224217738399997</v>
      </c>
      <c r="L118" s="96">
        <v>4.7480521306799996</v>
      </c>
      <c r="M118" s="96">
        <v>4.9050262709399997</v>
      </c>
      <c r="N118" s="96">
        <v>5.0224217738399997</v>
      </c>
      <c r="O118" s="96">
        <v>4.9828431364799997</v>
      </c>
      <c r="P118" s="96">
        <v>5.0224217738399997</v>
      </c>
      <c r="Q118" s="96">
        <v>4.7480521306799996</v>
      </c>
      <c r="R118" s="96">
        <v>4.7480521306799996</v>
      </c>
      <c r="S118" s="96">
        <v>4.9050262709399997</v>
      </c>
      <c r="T118" s="96">
        <v>4.9828431364799997</v>
      </c>
      <c r="U118" s="96">
        <v>5.1398172767399988</v>
      </c>
      <c r="V118" s="96">
        <v>5.0224217738399997</v>
      </c>
      <c r="W118" s="96">
        <v>4.7480521306799996</v>
      </c>
      <c r="X118" s="96">
        <v>4.9050262709399997</v>
      </c>
      <c r="Y118" s="96">
        <v>5.0224217738399997</v>
      </c>
      <c r="Z118" s="96">
        <v>4.9828431364799997</v>
      </c>
      <c r="AA118" s="96">
        <v>5.1398172767399988</v>
      </c>
      <c r="AB118" s="96">
        <v>4.7480521306799996</v>
      </c>
      <c r="AC118" s="96">
        <v>4.7480521306799996</v>
      </c>
      <c r="AD118" s="96">
        <v>4.9050262709399997</v>
      </c>
      <c r="AE118" s="96">
        <v>5.0224217738399997</v>
      </c>
      <c r="AF118" s="96">
        <v>5.1398172767399988</v>
      </c>
      <c r="AG118" s="96">
        <v>5.0224217738399997</v>
      </c>
      <c r="AH118" s="96">
        <v>4.7480521306799996</v>
      </c>
    </row>
    <row r="119" spans="1:34" x14ac:dyDescent="0.3">
      <c r="A119" s="96" t="s">
        <v>133</v>
      </c>
      <c r="B119" s="96" t="str">
        <f t="shared" si="1"/>
        <v>Default-Solar - Tracking-K</v>
      </c>
      <c r="C119" s="96" t="s">
        <v>134</v>
      </c>
      <c r="D119" s="96" t="s">
        <v>114</v>
      </c>
      <c r="E119" s="96">
        <v>207.82932957203982</v>
      </c>
      <c r="F119" s="96">
        <v>203.99710334615997</v>
      </c>
      <c r="G119" s="96">
        <v>203.99710334615997</v>
      </c>
      <c r="H119" s="96">
        <v>201.7978757632799</v>
      </c>
      <c r="I119" s="96">
        <v>201.80363754065991</v>
      </c>
      <c r="J119" s="96">
        <v>208.24046012147974</v>
      </c>
      <c r="K119" s="96">
        <v>207.82932957203982</v>
      </c>
      <c r="L119" s="96">
        <v>203.99710334615997</v>
      </c>
      <c r="M119" s="96">
        <v>204.40247211821992</v>
      </c>
      <c r="N119" s="96">
        <v>201.7978757632799</v>
      </c>
      <c r="O119" s="96">
        <v>201.80363754065991</v>
      </c>
      <c r="P119" s="96">
        <v>207.82932957203982</v>
      </c>
      <c r="Q119" s="96">
        <v>203.99710334615997</v>
      </c>
      <c r="R119" s="96">
        <v>203.99710334615997</v>
      </c>
      <c r="S119" s="96">
        <v>204.40247211821992</v>
      </c>
      <c r="T119" s="96">
        <v>201.80363754065991</v>
      </c>
      <c r="U119" s="96">
        <v>208.24046012147974</v>
      </c>
      <c r="V119" s="96">
        <v>207.82932957203982</v>
      </c>
      <c r="W119" s="96">
        <v>203.99710334615997</v>
      </c>
      <c r="X119" s="96">
        <v>204.40247211821992</v>
      </c>
      <c r="Y119" s="96">
        <v>201.7978757632799</v>
      </c>
      <c r="Z119" s="96">
        <v>201.80363754065991</v>
      </c>
      <c r="AA119" s="96">
        <v>208.24046012147974</v>
      </c>
      <c r="AB119" s="96">
        <v>203.99710334615997</v>
      </c>
      <c r="AC119" s="96">
        <v>203.99710334615997</v>
      </c>
      <c r="AD119" s="96">
        <v>204.40247211821992</v>
      </c>
      <c r="AE119" s="96">
        <v>201.7978757632799</v>
      </c>
      <c r="AF119" s="96">
        <v>208.24046012147974</v>
      </c>
      <c r="AG119" s="96">
        <v>207.82932957203982</v>
      </c>
      <c r="AH119" s="96">
        <v>203.99710334615997</v>
      </c>
    </row>
    <row r="120" spans="1:34" x14ac:dyDescent="0.3">
      <c r="B120" s="96" t="s">
        <v>136</v>
      </c>
    </row>
  </sheetData>
  <sheetProtection algorithmName="SHA-512" hashValue="40UsdZTctA8mK6f7JmarHweEq74Ff5kjjfHGUjc0Z9HuzsETb16ac1eDKVs0U1/vhXe+o/7jcUfLbVqeFvmOaQ==" saltValue="h5smaAbmOIJJ6W1gxP7izg==" spinCount="100000" sheet="1" objects="1" scenarios="1" selectLockedCells="1" selectUnlockedCells="1"/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6 d f 4 f 3 f - 8 9 8 a - 4 c d e - a b 8 1 - 7 a 8 1 7 d 9 7 7 2 b 9 "   x m l n s = " h t t p : / / s c h e m a s . m i c r o s o f t . c o m / D a t a M a s h u p " > A A A A A B M D A A B Q S w M E F A A C A A g A t n q c U i o e J 9 O j A A A A 9 Q A A A B I A H A B D b 2 5 m a W c v U G F j a 2 F n Z S 5 4 b W w g o h g A K K A U A A A A A A A A A A A A A A A A A A A A A A A A A A A A h Y + x D o I w G I R f h X S n L e h A y E 8 Z X C U x I R r X p l R s h B 9 D i + X d H H w k X 0 G M o m 6 O d 9 9 d c n e / 3 i A f 2 y a 4 6 N 6 a D j M S U U 4 C j a q r D N Y Z G d w h T E g u Y C P V S d Y 6 m M J o 0 9 G a j B y d O 6 e M e e + p X 9 C u r 1 n M e c T 2 x b p U R 9 3 K 0 K B 1 E p U m n 1 b 1 v 0 U E 7 F 5 j R E y T J U 3 4 N A n Y 7 E F h 8 M v j i T 3 p j w m r o X F D r 4 X G c F s C m y W w 9 w X x A F B L A w Q U A A I A C A C 2 e p x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n q c U i i K R 7 g O A A A A E Q A A A B M A H A B G b 3 J t d W x h c y 9 T Z W N 0 a W 9 u M S 5 t I K I Y A C i g F A A A A A A A A A A A A A A A A A A A A A A A A A A A A C t O T S 7 J z M 9 T C I b Q h t Y A U E s B A i 0 A F A A C A A g A t n q c U i o e J 9 O j A A A A 9 Q A A A B I A A A A A A A A A A A A A A A A A A A A A A E N v b m Z p Z y 9 Q Y W N r Y W d l L n h t b F B L A Q I t A B Q A A g A I A L Z 6 n F I P y u m r p A A A A O k A A A A T A A A A A A A A A A A A A A A A A O 8 A A A B b Q 2 9 u d G V u d F 9 U e X B l c 1 0 u e G 1 s U E s B A i 0 A F A A C A A g A t n q c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5 a W G k u T f F B r R V f I e x M T z E A A A A A A g A A A A A A A 2 Y A A M A A A A A Q A A A A u Y f X Q E F N G K w z 4 + U 3 P Q X 8 B Q A A A A A E g A A A o A A A A B A A A A D d 0 I m F 7 F u K 9 O q 0 L w Q J J 2 F 3 U A A A A D n R d s i + 9 G G L u 5 U 5 4 v i z m g e X 3 K v 3 K 3 z p C Z d d X E l e k z K o c v u i K J 0 k 8 3 i Y i 0 h t S R K / H r 3 X 7 i I L 7 g J m U y E A G 9 6 F 3 Z D m R N b c k I x 2 t b r r 9 7 4 N T 5 f A F A A A A O m M r 1 B W W 5 6 U v X x 4 e S l H J u 0 E E V H n < / D a t a M a s h u p > 
</file>

<file path=customXml/itemProps1.xml><?xml version="1.0" encoding="utf-8"?>
<ds:datastoreItem xmlns:ds="http://schemas.openxmlformats.org/officeDocument/2006/customXml" ds:itemID="{CB5A0299-EC24-4EFE-8CF0-8F21D125AB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45</vt:i4>
      </vt:variant>
    </vt:vector>
  </HeadingPairs>
  <TitlesOfParts>
    <vt:vector size="49" baseType="lpstr">
      <vt:lpstr>Inputs</vt:lpstr>
      <vt:lpstr>Model</vt:lpstr>
      <vt:lpstr>ModelFactors</vt:lpstr>
      <vt:lpstr>Forecasts</vt:lpstr>
      <vt:lpstr>BT_Disc_rt</vt:lpstr>
      <vt:lpstr>CommAdder</vt:lpstr>
      <vt:lpstr>CommCredit</vt:lpstr>
      <vt:lpstr>Date_of_Operation</vt:lpstr>
      <vt:lpstr>Days_per_Year</vt:lpstr>
      <vt:lpstr>Degradation</vt:lpstr>
      <vt:lpstr>DRV_Factors</vt:lpstr>
      <vt:lpstr>DRV_MTC_Table</vt:lpstr>
      <vt:lpstr>DRV_Rate</vt:lpstr>
      <vt:lpstr>ef_Base_Solar</vt:lpstr>
      <vt:lpstr>ef_Base_Wind</vt:lpstr>
      <vt:lpstr>ef_ExpAbove_Solar</vt:lpstr>
      <vt:lpstr>ef_ExpAbove_Wind</vt:lpstr>
      <vt:lpstr>ef_ExpBelow_Solar</vt:lpstr>
      <vt:lpstr>ef_ExpBelow_Wind</vt:lpstr>
      <vt:lpstr>ef_Pivot_Solar</vt:lpstr>
      <vt:lpstr>ef_Pivot_Wind</vt:lpstr>
      <vt:lpstr>Expense_Scale</vt:lpstr>
      <vt:lpstr>Forecast_Energy_Header</vt:lpstr>
      <vt:lpstr>Forecast_Energy_Hrly</vt:lpstr>
      <vt:lpstr>Forecast_ICAP</vt:lpstr>
      <vt:lpstr>Forecast_ICAP_Header</vt:lpstr>
      <vt:lpstr>Fraction_of_Credits</vt:lpstr>
      <vt:lpstr>Ground_Lease_Ann</vt:lpstr>
      <vt:lpstr>Ground_Lease_Esc</vt:lpstr>
      <vt:lpstr>Group_Zone</vt:lpstr>
      <vt:lpstr>Inflation</vt:lpstr>
      <vt:lpstr>Inv_cost</vt:lpstr>
      <vt:lpstr>Inv_Repl_Cycle</vt:lpstr>
      <vt:lpstr>Inv_Size</vt:lpstr>
      <vt:lpstr>NYISO_Name</vt:lpstr>
      <vt:lpstr>NYISO_Zone_Lookup</vt:lpstr>
      <vt:lpstr>NYISOzone</vt:lpstr>
      <vt:lpstr>Plant_Type</vt:lpstr>
      <vt:lpstr>Plant_Type_Tbl</vt:lpstr>
      <vt:lpstr>System_Age</vt:lpstr>
      <vt:lpstr>System_Size</vt:lpstr>
      <vt:lpstr>Tax_Stat_Dt</vt:lpstr>
      <vt:lpstr>Utility_List</vt:lpstr>
      <vt:lpstr>Utility_Loss_Adj</vt:lpstr>
      <vt:lpstr>Utility_Nm</vt:lpstr>
      <vt:lpstr>ValGroup</vt:lpstr>
      <vt:lpstr>ValGroup_Tbl</vt:lpstr>
      <vt:lpstr>Zone_Eff</vt:lpstr>
      <vt:lpstr>Zone_Exp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2021-07-27T16:35:46Z</dcterms:created>
  <dcterms:modified xsi:type="dcterms:W3CDTF">2024-10-02T20:20:31Z</dcterms:modified>
</cp:coreProperties>
</file>